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36" activeTab="6"/>
  </bookViews>
  <sheets>
    <sheet name="Заголовок" sheetId="1" r:id="rId1"/>
    <sheet name="Форма 3.1." sheetId="2" r:id="rId2"/>
    <sheet name="табл.1.3" sheetId="3" r:id="rId3"/>
    <sheet name="табл.1,4" sheetId="4" r:id="rId4"/>
    <sheet name="табл.1.5" sheetId="5" r:id="rId5"/>
    <sheet name="табл. 1.6 " sheetId="6" r:id="rId6"/>
    <sheet name="табл. прил.1" sheetId="7" r:id="rId7"/>
  </sheets>
  <externalReferences>
    <externalReference r:id="rId10"/>
    <externalReference r:id="rId11"/>
    <externalReference r:id="rId12"/>
  </externalReferences>
  <definedNames>
    <definedName name="_xlfn.IFERROR" hidden="1">#NAME?</definedName>
    <definedName name="_xlnm._FilterDatabase" localSheetId="5" hidden="1">'табл. 1.6 '!$A$7:$W$27</definedName>
    <definedName name="god">'Заголовок'!$F$10</definedName>
    <definedName name="inn">'Заголовок'!$F$15</definedName>
    <definedName name="kpp">'Заголовок'!$F$16</definedName>
    <definedName name="MR_LIST">'[2]REESTR_MO'!$D$2:$D$37</definedName>
    <definedName name="org">'Заголовок'!$F$13</definedName>
    <definedName name="REG">'[1]TEHSHEET'!$B$2:$B$85</definedName>
    <definedName name="region_name">'Заголовок'!$F$8</definedName>
    <definedName name="version">'[2]Инструкция'!$G$3</definedName>
    <definedName name="Years">'[3]TEHSHEET'!$J$1:$J$5</definedName>
  </definedNames>
  <calcPr fullCalcOnLoad="1"/>
</workbook>
</file>

<file path=xl/sharedStrings.xml><?xml version="1.0" encoding="utf-8"?>
<sst xmlns="http://schemas.openxmlformats.org/spreadsheetml/2006/main" count="762" uniqueCount="359">
  <si>
    <t>Форма 3.1</t>
  </si>
  <si>
    <t>Новосибирская область</t>
  </si>
  <si>
    <t>ИНН</t>
  </si>
  <si>
    <t>КПП</t>
  </si>
  <si>
    <t>Почтовый адрес:</t>
  </si>
  <si>
    <t>Период регулирования</t>
  </si>
  <si>
    <t>Должность: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</si>
  <si>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</si>
  <si>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</si>
  <si>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</si>
  <si>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</si>
  <si>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</si>
  <si>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</si>
  <si>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</si>
  <si>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</si>
  <si>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</si>
  <si>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</si>
  <si>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</si>
  <si>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</si>
  <si>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</si>
  <si>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</si>
  <si>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</si>
  <si>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 xml:space="preserve">№ п.п. </t>
  </si>
  <si>
    <t>Наименование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</si>
  <si>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</si>
  <si>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</si>
  <si>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</si>
  <si>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</si>
  <si>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</si>
  <si>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</si>
  <si>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</si>
  <si>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</si>
  <si>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</si>
  <si>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</si>
  <si>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</si>
  <si>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</si>
  <si>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</si>
  <si>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</si>
  <si>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</si>
  <si>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</si>
  <si>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</si>
  <si>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%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</si>
  <si>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</si>
  <si>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</si>
  <si>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</si>
  <si>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</si>
  <si>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</si>
  <si>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</si>
  <si>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</si>
  <si>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</si>
  <si>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</si>
  <si>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</si>
  <si>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</si>
  <si>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</si>
  <si>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</si>
  <si>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</si>
  <si>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</si>
  <si>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</si>
  <si>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</si>
  <si>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</si>
  <si>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</si>
  <si>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</si>
  <si>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</si>
  <si>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</si>
  <si>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</si>
  <si>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</si>
  <si>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</si>
  <si>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</si>
  <si>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</si>
  <si>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</si>
  <si>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</si>
  <si>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</si>
  <si>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</si>
  <si>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</si>
  <si>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</si>
  <si>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</si>
  <si>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</si>
  <si>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</si>
  <si>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</si>
  <si>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L10</t>
  </si>
  <si>
    <t>Присоединенная мощность потребителей</t>
  </si>
  <si>
    <t>10</t>
  </si>
  <si>
    <t xml:space="preserve">Присоединенная мощность </t>
  </si>
  <si>
    <t>МВА</t>
  </si>
  <si>
    <t>L10.1</t>
  </si>
  <si>
    <t>10.1</t>
  </si>
  <si>
    <t>L10.2</t>
  </si>
  <si>
    <t>10.2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</si>
  <si>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</si>
  <si>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</si>
  <si>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Наименование организации</t>
  </si>
  <si>
    <t>Предложения сетевой компании по технологическому расходу электроэнергии (мощности) - потерям в электрических сетях</t>
  </si>
  <si>
    <t>Регион РФ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</si>
  <si>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</si>
  <si>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</si>
  <si>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</si>
  <si>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</si>
  <si>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</t>
  </si>
  <si>
    <t>Юридический адрес:</t>
  </si>
  <si>
    <t>Почтовый адрес</t>
  </si>
  <si>
    <t>Руководитель</t>
  </si>
  <si>
    <t>Руководитель.ФИО</t>
  </si>
  <si>
    <t>Фамилия, имя, отчество:</t>
  </si>
  <si>
    <t>Руководитель.Телефон</t>
  </si>
  <si>
    <t>Контактный телефон:</t>
  </si>
  <si>
    <t>Главный бухгалтер</t>
  </si>
  <si>
    <t>Гл.бухгалтер.ФИО</t>
  </si>
  <si>
    <t>Гл.бухгалтер.Телефон</t>
  </si>
  <si>
    <t>Должностное лицо, ответственное за составление формы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</si>
  <si>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</si>
  <si>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</si>
  <si>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</si>
  <si>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</si>
  <si>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</si>
  <si>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</si>
  <si>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</si>
  <si>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</si>
  <si>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e-mail:</t>
  </si>
  <si>
    <t>Версия 2.0</t>
  </si>
  <si>
    <t xml:space="preserve">Дата последнего обновления реестра организаций: </t>
  </si>
  <si>
    <t>Дата последнего обновления реестра МР/МО:</t>
  </si>
  <si>
    <t>п.п.</t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</si>
  <si>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</si>
  <si>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</si>
  <si>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</si>
  <si>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</si>
  <si>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</si>
  <si>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</si>
  <si>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</si>
  <si>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</si>
  <si>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</si>
  <si>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</si>
  <si>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</si>
  <si>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>СН2</t>
  </si>
  <si>
    <t>1.2.</t>
  </si>
  <si>
    <t>от электростанций ПЭ (ЭСО)</t>
  </si>
  <si>
    <t>от других поставщиков (в т.ч. с оптового рынка)</t>
  </si>
  <si>
    <t>1.4.</t>
  </si>
  <si>
    <t xml:space="preserve">Потери электроэнергии в сети </t>
  </si>
  <si>
    <t>4.1.</t>
  </si>
  <si>
    <t>4.2.</t>
  </si>
  <si>
    <t>потребителям оптового рынка</t>
  </si>
  <si>
    <t>4.3.</t>
  </si>
  <si>
    <t>Расчет технологического расхода электрической энергии (потерь)</t>
  </si>
  <si>
    <t>в электрических сетях ЭСО (региональных электрических сетях)</t>
  </si>
  <si>
    <t>№
п/п</t>
  </si>
  <si>
    <t>Ед. изм.</t>
  </si>
  <si>
    <t>всего</t>
  </si>
  <si>
    <t>Технические потери</t>
  </si>
  <si>
    <t>млн. кВт·ч</t>
  </si>
  <si>
    <t>1.1</t>
  </si>
  <si>
    <t>Потери холостого хода в трансформаторах
(а * б * в)</t>
  </si>
  <si>
    <t>а</t>
  </si>
  <si>
    <t>Норматив потерь</t>
  </si>
  <si>
    <t>КВт/МВА</t>
  </si>
  <si>
    <t>б</t>
  </si>
  <si>
    <t>Суммарная мощность трансформаторов</t>
  </si>
  <si>
    <t>в</t>
  </si>
  <si>
    <t>Продолжительность периода</t>
  </si>
  <si>
    <t>час</t>
  </si>
  <si>
    <t>1.2</t>
  </si>
  <si>
    <t>Потери в БСК и СТК    (а * б)</t>
  </si>
  <si>
    <t>тыс. кВт·ч в год/шт.</t>
  </si>
  <si>
    <t>Количество</t>
  </si>
  <si>
    <t>шт.</t>
  </si>
  <si>
    <t>1.3</t>
  </si>
  <si>
    <t>Потери
в шунтирующих реакторах (а * б)</t>
  </si>
  <si>
    <t>1.4</t>
  </si>
  <si>
    <t>Потери в синхронных компенсаторах (СК)</t>
  </si>
  <si>
    <t>1.4.1</t>
  </si>
  <si>
    <t>Потери в СК номиналь-ной мощностью</t>
  </si>
  <si>
    <t xml:space="preserve"> Мвар (а * б)</t>
  </si>
  <si>
    <t>1.4.2</t>
  </si>
  <si>
    <t>1.4.3</t>
  </si>
  <si>
    <t>…</t>
  </si>
  <si>
    <t>1.5</t>
  </si>
  <si>
    <t>Потери электрической энергии на корону, всего</t>
  </si>
  <si>
    <t>1.5.1</t>
  </si>
  <si>
    <t>Потери на корону
в линиях напряжением кВ (а * б)</t>
  </si>
  <si>
    <t>млн. кВт·ч в год/км</t>
  </si>
  <si>
    <t>Протяженность линий</t>
  </si>
  <si>
    <t>км</t>
  </si>
  <si>
    <t>1.5.2</t>
  </si>
  <si>
    <t>1.6</t>
  </si>
  <si>
    <t>Нагрузочные потери, всего</t>
  </si>
  <si>
    <t>1.6.1</t>
  </si>
  <si>
    <t>Нагрузочные потери
в сетях ВН, СН1, СН11 (а * б * в)</t>
  </si>
  <si>
    <t>Поправочный коэффициент</t>
  </si>
  <si>
    <t>Отпуск в сеть ВН, СН1 и СН11</t>
  </si>
  <si>
    <t>1.6.2</t>
  </si>
  <si>
    <t>Нагрузочные потери
в сети НН (а * б)</t>
  </si>
  <si>
    <t>тыс. кВт·ч в год/км</t>
  </si>
  <si>
    <t>Протяженность линий 0,4 кВ</t>
  </si>
  <si>
    <t>2</t>
  </si>
  <si>
    <t>Расход электроэнергии на собственные нужды подстанций</t>
  </si>
  <si>
    <t>3</t>
  </si>
  <si>
    <t>Потери, обусловленные погрешностями приборов учета</t>
  </si>
  <si>
    <t>4</t>
  </si>
  <si>
    <t>Итого</t>
  </si>
  <si>
    <t>Таблица 1.3</t>
  </si>
  <si>
    <t>Таблица № П 1.4</t>
  </si>
  <si>
    <t>Баланс электрической энергии по сетям ВН, СН1, СН11 и НН</t>
  </si>
  <si>
    <t>1.3.</t>
  </si>
  <si>
    <t xml:space="preserve">поступление эл. энергии от других организаций </t>
  </si>
  <si>
    <t>2.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</si>
  <si>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</si>
  <si>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</si>
  <si>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</si>
  <si>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</si>
  <si>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 xml:space="preserve">Полезный отпуск из сети </t>
  </si>
  <si>
    <t>в т.ч.                                                                                    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</si>
  <si>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</si>
  <si>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</si>
  <si>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</si>
  <si>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сальдо переток в другие организации</t>
  </si>
  <si>
    <t>Таблица № П 1.5</t>
  </si>
  <si>
    <t>Баланс электрической мощности по сетям ВН, СН1, СН11 и НН</t>
  </si>
  <si>
    <t xml:space="preserve">Поступление мощности в сеть , ВСЕГО </t>
  </si>
  <si>
    <t>из смежной сети</t>
  </si>
  <si>
    <t xml:space="preserve">от электростанций ПЭ </t>
  </si>
  <si>
    <t>от других организаций</t>
  </si>
  <si>
    <t xml:space="preserve">то же в % </t>
  </si>
  <si>
    <t>Мощность на производственные и хозяйственные нужды</t>
  </si>
  <si>
    <t xml:space="preserve">Полезный отпуск мощности  потребителям  </t>
  </si>
  <si>
    <t>в т.ч.   Заявленная (расчетная) мощность собственных  потребителей, пользующихся региональными электричекими сетями</t>
  </si>
  <si>
    <t>Заявленная (расчетная) мощность потребителей оптового рынка</t>
  </si>
  <si>
    <t xml:space="preserve"> в другие организации</t>
  </si>
  <si>
    <t xml:space="preserve">Потери в сети </t>
  </si>
  <si>
    <t xml:space="preserve"> город Новосибирск</t>
  </si>
  <si>
    <t xml:space="preserve">       Асмодьяров Г.Р.</t>
  </si>
  <si>
    <t>ООО "ЭСО"</t>
  </si>
  <si>
    <t>5406982149</t>
  </si>
  <si>
    <t>Сизов Сергей Николаевич</t>
  </si>
  <si>
    <t>8-960-794-05-05</t>
  </si>
  <si>
    <t>Ващенко Ирина Валерьевна</t>
  </si>
  <si>
    <t>+7(383)2461779</t>
  </si>
  <si>
    <t>Сизова Екатерина Евгеньевна</t>
  </si>
  <si>
    <t>Главный инженер</t>
  </si>
  <si>
    <t>+7(383)299-00-21</t>
  </si>
  <si>
    <t>eso-tso@yandex.ru</t>
  </si>
  <si>
    <t>50701000001</t>
  </si>
  <si>
    <t xml:space="preserve">      Сизов С.Н.</t>
  </si>
  <si>
    <t>Таблица № П1.6.</t>
  </si>
  <si>
    <t>Структура полезного отпуска электрической энергии (мощности) по группам потребителей ООО "ЭСО"</t>
  </si>
  <si>
    <t>№</t>
  </si>
  <si>
    <t>Группа потребителей</t>
  </si>
  <si>
    <t>Объем полезного отпуска электроэнергии, тыс.кВтч.</t>
  </si>
  <si>
    <t xml:space="preserve">Заявленная (расчетная) мощность, тыс.кВт. </t>
  </si>
  <si>
    <t>Число часов использо-вания, час</t>
  </si>
  <si>
    <t>Количество точек поставки, шт.</t>
  </si>
  <si>
    <t xml:space="preserve">Доля потребления на разных диапазонах напряжений, % </t>
  </si>
  <si>
    <t xml:space="preserve">Всего </t>
  </si>
  <si>
    <t>Население, всего</t>
  </si>
  <si>
    <t>Население</t>
  </si>
  <si>
    <t>Потребители приравненные к населению</t>
  </si>
  <si>
    <t>Жилищные организации потребляющие электроэнергию на технические цели жилых домов</t>
  </si>
  <si>
    <t>Прочие потребители</t>
  </si>
  <si>
    <t>Базовые потребители</t>
  </si>
  <si>
    <t>Одноставочники</t>
  </si>
  <si>
    <t>Итого:</t>
  </si>
  <si>
    <t>Руководитель организации_______________________________________Сизов С.Н.</t>
  </si>
  <si>
    <t>АО "РЭС"</t>
  </si>
  <si>
    <t>1 п/г 2021г.</t>
  </si>
  <si>
    <t>Наименование показателя</t>
  </si>
  <si>
    <t>Ед. измерения</t>
  </si>
  <si>
    <t>В том числе по уровню напряжения</t>
  </si>
  <si>
    <t>СН-I</t>
  </si>
  <si>
    <t>СН-II</t>
  </si>
  <si>
    <t>Поступление в сеть из других организаций, в том числе:</t>
  </si>
  <si>
    <t>тыс.кВт ч</t>
  </si>
  <si>
    <t>из сетей ФСК</t>
  </si>
  <si>
    <t>от генерирующих компаний и блок станций</t>
  </si>
  <si>
    <t>от смежных сетевых организаций</t>
  </si>
  <si>
    <t>Отпуск электроэнергии в сеть</t>
  </si>
  <si>
    <t>Фактические потери электроэнергии</t>
  </si>
  <si>
    <t xml:space="preserve"> </t>
  </si>
  <si>
    <t>Протяженность линий (воздушных и кабельных) электропередачи</t>
  </si>
  <si>
    <t>Протяженность воздушных линий электропередачи</t>
  </si>
  <si>
    <t>Соотношение протяженности воздушных и кабельных линий электропередачи (доля ВЛ)</t>
  </si>
  <si>
    <t>Норматив потерь электроэнергии по приказу Минэнерго России от 20,09.2017 г. №887</t>
  </si>
  <si>
    <t>Поступление в сеть из других уровней напряжения (трансформация)</t>
  </si>
  <si>
    <t>Плановый отпуск электроэнергии в сеть</t>
  </si>
  <si>
    <t>Уровень потерь электроэнергии</t>
  </si>
  <si>
    <t>Величина потерь электроэнергии</t>
  </si>
  <si>
    <t>код строки</t>
  </si>
  <si>
    <t xml:space="preserve">Соотношение величины отпуска электрической энергии в электрическую сеть и суммы номинальных мощностей силовых трансформаторов </t>
  </si>
  <si>
    <t>Сумма номинальных мощностей силовых трансформаторов</t>
  </si>
  <si>
    <t>тыс.кВт ч/МВА</t>
  </si>
  <si>
    <t>Отпуск электроэнергии в электрическую сеть/суммарная протяженность воздушных и кабельных линий электропередачи</t>
  </si>
  <si>
    <t>тыс.кВт/км</t>
  </si>
  <si>
    <t>11</t>
  </si>
  <si>
    <t>12</t>
  </si>
  <si>
    <t>13</t>
  </si>
  <si>
    <t>14</t>
  </si>
  <si>
    <t>15</t>
  </si>
  <si>
    <t>16 (равна строке 1)</t>
  </si>
  <si>
    <t>17 (равна строке 2)</t>
  </si>
  <si>
    <t>18 (равна строке 3)</t>
  </si>
  <si>
    <t>19 (равна строке 4)</t>
  </si>
  <si>
    <t>20 (равна строке 5)</t>
  </si>
  <si>
    <t>21 (равна строке 6)</t>
  </si>
  <si>
    <t>22 (min из строки 8 и строки 15)</t>
  </si>
  <si>
    <t>23 (строка 21*строка 22)</t>
  </si>
  <si>
    <t>24 (равна строке 22 столбец 3)</t>
  </si>
  <si>
    <t xml:space="preserve">Руководитель организации         ______________________________________Сизов С.Н.                                             </t>
  </si>
  <si>
    <t>540401001</t>
  </si>
  <si>
    <t>630048, г. Новосибирск, площадь Карла Маркса, д.5, оф.414</t>
  </si>
  <si>
    <t>630066, г. Новосибирск, а/я 25</t>
  </si>
  <si>
    <t>Период регулирования 2021г. (план)</t>
  </si>
  <si>
    <t>1 п/г 2021г.(план)</t>
  </si>
  <si>
    <t>2 п/г 2021г.(план)</t>
  </si>
  <si>
    <t>Период регулирования 2022 г.</t>
  </si>
  <si>
    <t>1 п/г 2022г.</t>
  </si>
  <si>
    <t>2 п/г 2022г.</t>
  </si>
  <si>
    <t>Период регулирования 2021г.(план)</t>
  </si>
  <si>
    <t>1 п/г 2021 г. (план)</t>
  </si>
  <si>
    <t>2 п/г 2021г. (план)</t>
  </si>
  <si>
    <t>Период регулирования 2022г.</t>
  </si>
  <si>
    <t>Период регулирования 2021 г.(факт)</t>
  </si>
  <si>
    <t>1 п/г 2021г.(факт)</t>
  </si>
  <si>
    <t>2 п/г 2021г.(факт)</t>
  </si>
  <si>
    <t>ООО "ЭСО" на 2021-2023 год</t>
  </si>
  <si>
    <t>Период регулирования 2021г. (факт)</t>
  </si>
  <si>
    <t>Период регулирования 2023 г.</t>
  </si>
  <si>
    <t>1 п/г 2023г.</t>
  </si>
  <si>
    <t>2 п/г 2023г.</t>
  </si>
  <si>
    <t>Предложения  ООО "ЭСО"  по технологическому расходу электроэнергии (мощности) - потерям в электрических сетях на 2023 год в регионе: Новосибирская область</t>
  </si>
  <si>
    <t>Факт   2021 год</t>
  </si>
  <si>
    <t>План   2021 год</t>
  </si>
  <si>
    <t>План 2023 1 кв.</t>
  </si>
  <si>
    <t>План 2023 2 кв.</t>
  </si>
  <si>
    <t>План 2023       1 полугодие</t>
  </si>
  <si>
    <t>План 2023 3 кв.</t>
  </si>
  <si>
    <t>План 2023 4 кв.</t>
  </si>
  <si>
    <t>План 2023       2 полугодие</t>
  </si>
  <si>
    <t>План 2023 Январь</t>
  </si>
  <si>
    <t>План 2023 Февраль</t>
  </si>
  <si>
    <t>План 2023 Март</t>
  </si>
  <si>
    <t>План 2023 Апрель</t>
  </si>
  <si>
    <t>План 2023 Май</t>
  </si>
  <si>
    <t>План 2023 Июнь</t>
  </si>
  <si>
    <t>План 2023 Июль</t>
  </si>
  <si>
    <t>План  2023 год</t>
  </si>
  <si>
    <t>План 2023 Август</t>
  </si>
  <si>
    <t>План 2023 Сентябрь</t>
  </si>
  <si>
    <t>План 2023 Октябрь</t>
  </si>
  <si>
    <t>План 2023 Ноябрь</t>
  </si>
  <si>
    <t>План 2023 Декабрь</t>
  </si>
  <si>
    <t>План 2023 Год</t>
  </si>
  <si>
    <t>Период регулирования 2023г.</t>
  </si>
  <si>
    <t>ООО "ЭСО" на 2023г.</t>
  </si>
  <si>
    <t>2021г.(факт)</t>
  </si>
  <si>
    <t>План 2023</t>
  </si>
  <si>
    <t>Определение величины и уровня потерь электроэнергии при ее передаче по электрическим сетям территориальной сетевой организации ООО "ЭСО" на 2023 год</t>
  </si>
  <si>
    <t>Факт 2021 года</t>
  </si>
  <si>
    <t>2021 год (факт)</t>
  </si>
  <si>
    <t>2023 год (план)</t>
  </si>
  <si>
    <t>Определение уровня (%) потерь электроэнергии исходя из фактических данных за 2021г)</t>
  </si>
  <si>
    <t>Регулируемый период (план 2023 год)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</si>
</sst>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00"/>
    <numFmt numFmtId="176" formatCode="#,##0.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"/>
    <numFmt numFmtId="184" formatCode="_-* #,##0.000_р_._-;\-* #,##0.000_р_._-;_-* &quot;-&quot;???_р_._-;_-@_-"/>
    <numFmt numFmtId="185" formatCode="0.000%"/>
  </numFmts>
  <fonts count="86">
    <font>
      <sz val="10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b/>
      <sz val="10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8"/>
      <name val="Verdana"/>
      <family val="2"/>
    </font>
    <font>
      <sz val="10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Arial Cyr"/>
      <family val="0"/>
    </font>
    <font>
      <sz val="11"/>
      <color indexed="9"/>
      <name val="Tahoma"/>
      <family val="2"/>
    </font>
    <font>
      <sz val="11"/>
      <color indexed="12"/>
      <name val="Tahoma"/>
      <family val="2"/>
    </font>
    <font>
      <sz val="11"/>
      <name val="Tahoma"/>
      <family val="2"/>
    </font>
    <font>
      <b/>
      <sz val="11"/>
      <color indexed="9"/>
      <name val="Tahoma"/>
      <family val="2"/>
    </font>
    <font>
      <b/>
      <sz val="11"/>
      <color indexed="12"/>
      <name val="Tahoma"/>
      <family val="2"/>
    </font>
    <font>
      <b/>
      <sz val="11"/>
      <name val="Tahoma"/>
      <family val="2"/>
    </font>
    <font>
      <sz val="11"/>
      <name val="Arial Cyr"/>
      <family val="0"/>
    </font>
    <font>
      <sz val="10"/>
      <color indexed="9"/>
      <name val="Tahoma"/>
      <family val="2"/>
    </font>
    <font>
      <sz val="10"/>
      <color indexed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13"/>
      <name val="Times New Roman Cyr"/>
      <family val="1"/>
    </font>
    <font>
      <sz val="8"/>
      <name val="Times New Roman Cyr"/>
      <family val="1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medium"/>
      <top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/>
      <bottom>
        <color indexed="63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/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/>
      <right/>
      <top style="thin"/>
      <bottom style="thin"/>
    </border>
    <border>
      <left/>
      <right style="medium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dashed"/>
      <right/>
      <top style="thin"/>
      <bottom style="medium">
        <color indexed="63"/>
      </bottom>
    </border>
    <border>
      <left/>
      <right style="medium">
        <color indexed="63"/>
      </right>
      <top style="thin"/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8" fillId="0" borderId="0">
      <alignment/>
      <protection/>
    </xf>
    <xf numFmtId="0" fontId="6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32" borderId="0" xfId="61" applyFont="1" applyFill="1" applyAlignment="1">
      <alignment vertical="center" wrapText="1"/>
      <protection/>
    </xf>
    <xf numFmtId="14" fontId="1" fillId="32" borderId="0" xfId="63" applyNumberFormat="1" applyFont="1" applyFill="1" applyAlignment="1">
      <alignment horizontal="center" vertical="center" wrapText="1"/>
      <protection/>
    </xf>
    <xf numFmtId="49" fontId="1" fillId="32" borderId="0" xfId="63" applyNumberFormat="1" applyFont="1" applyFill="1" applyAlignment="1">
      <alignment horizontal="center" vertical="center" wrapText="1"/>
      <protection/>
    </xf>
    <xf numFmtId="0" fontId="1" fillId="32" borderId="0" xfId="60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10" fillId="0" borderId="0" xfId="59" applyNumberFormat="1" applyFont="1" applyAlignment="1">
      <alignment horizontal="left"/>
      <protection/>
    </xf>
    <xf numFmtId="49" fontId="10" fillId="0" borderId="0" xfId="59" applyNumberFormat="1" applyFont="1">
      <alignment/>
      <protection/>
    </xf>
    <xf numFmtId="49" fontId="11" fillId="0" borderId="0" xfId="59" applyNumberFormat="1" applyFont="1">
      <alignment/>
      <protection/>
    </xf>
    <xf numFmtId="2" fontId="11" fillId="0" borderId="0" xfId="59" applyNumberFormat="1" applyFont="1">
      <alignment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right"/>
      <protection/>
    </xf>
    <xf numFmtId="0" fontId="11" fillId="0" borderId="0" xfId="59" applyFont="1" applyAlignment="1">
      <alignment horizontal="right"/>
      <protection/>
    </xf>
    <xf numFmtId="0" fontId="10" fillId="0" borderId="0" xfId="59" applyFont="1">
      <alignment/>
      <protection/>
    </xf>
    <xf numFmtId="1" fontId="11" fillId="0" borderId="0" xfId="59" applyNumberFormat="1" applyFont="1" applyAlignment="1">
      <alignment horizontal="left"/>
      <protection/>
    </xf>
    <xf numFmtId="1" fontId="11" fillId="0" borderId="0" xfId="59" applyNumberFormat="1" applyFont="1">
      <alignment/>
      <protection/>
    </xf>
    <xf numFmtId="1" fontId="11" fillId="0" borderId="0" xfId="59" applyNumberFormat="1" applyFont="1" applyAlignment="1">
      <alignment horizontal="center" vertical="center" wrapText="1"/>
      <protection/>
    </xf>
    <xf numFmtId="1" fontId="11" fillId="0" borderId="0" xfId="59" applyNumberFormat="1" applyFont="1" applyAlignment="1">
      <alignment horizontal="right"/>
      <protection/>
    </xf>
    <xf numFmtId="0" fontId="11" fillId="0" borderId="0" xfId="59" applyFont="1" applyAlignment="1">
      <alignment horizontal="right" vertical="center" wrapText="1"/>
      <protection/>
    </xf>
    <xf numFmtId="0" fontId="16" fillId="0" borderId="0" xfId="59" applyFont="1" applyAlignment="1">
      <alignment horizontal="center" vertical="top" wrapText="1"/>
      <protection/>
    </xf>
    <xf numFmtId="0" fontId="16" fillId="0" borderId="0" xfId="59" applyFont="1" applyAlignment="1" applyProtection="1">
      <alignment horizontal="center" vertical="top" wrapText="1"/>
      <protection locked="0"/>
    </xf>
    <xf numFmtId="0" fontId="18" fillId="0" borderId="0" xfId="60" applyFont="1" applyAlignment="1">
      <alignment vertical="center" wrapText="1"/>
      <protection/>
    </xf>
    <xf numFmtId="0" fontId="18" fillId="0" borderId="0" xfId="60" applyFont="1" applyAlignment="1">
      <alignment horizontal="left" vertical="center" wrapText="1"/>
      <protection/>
    </xf>
    <xf numFmtId="0" fontId="18" fillId="0" borderId="0" xfId="60" applyFont="1" applyAlignment="1">
      <alignment horizontal="center" vertical="center" wrapText="1"/>
      <protection/>
    </xf>
    <xf numFmtId="0" fontId="19" fillId="0" borderId="0" xfId="60" applyFont="1" applyAlignment="1">
      <alignment vertical="center" wrapText="1"/>
      <protection/>
    </xf>
    <xf numFmtId="0" fontId="1" fillId="0" borderId="0" xfId="60" applyFont="1" applyAlignment="1">
      <alignment vertical="center" wrapText="1"/>
      <protection/>
    </xf>
    <xf numFmtId="0" fontId="3" fillId="0" borderId="0" xfId="60" applyFont="1" applyAlignment="1">
      <alignment horizontal="right" vertical="center" wrapText="1"/>
      <protection/>
    </xf>
    <xf numFmtId="0" fontId="1" fillId="32" borderId="0" xfId="60" applyFont="1" applyFill="1" applyAlignment="1">
      <alignment vertical="center" wrapText="1"/>
      <protection/>
    </xf>
    <xf numFmtId="0" fontId="3" fillId="32" borderId="0" xfId="61" applyFont="1" applyFill="1" applyAlignment="1">
      <alignment vertical="center" wrapText="1"/>
      <protection/>
    </xf>
    <xf numFmtId="0" fontId="3" fillId="0" borderId="0" xfId="61" applyFont="1" applyAlignment="1">
      <alignment horizontal="right" vertical="center" wrapText="1"/>
      <protection/>
    </xf>
    <xf numFmtId="0" fontId="1" fillId="0" borderId="0" xfId="61" applyFont="1" applyAlignment="1">
      <alignment vertical="center" wrapText="1"/>
      <protection/>
    </xf>
    <xf numFmtId="0" fontId="1" fillId="32" borderId="0" xfId="61" applyFont="1" applyFill="1" applyAlignment="1">
      <alignment horizontal="center" vertical="center" wrapText="1"/>
      <protection/>
    </xf>
    <xf numFmtId="0" fontId="1" fillId="32" borderId="10" xfId="61" applyFont="1" applyFill="1" applyBorder="1" applyAlignment="1">
      <alignment vertical="center" wrapText="1"/>
      <protection/>
    </xf>
    <xf numFmtId="0" fontId="1" fillId="32" borderId="11" xfId="61" applyFont="1" applyFill="1" applyBorder="1" applyAlignment="1">
      <alignment vertical="center" wrapText="1"/>
      <protection/>
    </xf>
    <xf numFmtId="0" fontId="1" fillId="32" borderId="11" xfId="61" applyFont="1" applyFill="1" applyBorder="1" applyAlignment="1">
      <alignment horizontal="center" vertical="center" wrapText="1"/>
      <protection/>
    </xf>
    <xf numFmtId="0" fontId="3" fillId="32" borderId="12" xfId="61" applyFont="1" applyFill="1" applyBorder="1" applyAlignment="1">
      <alignment vertical="center" wrapText="1"/>
      <protection/>
    </xf>
    <xf numFmtId="0" fontId="1" fillId="32" borderId="13" xfId="61" applyFont="1" applyFill="1" applyBorder="1" applyAlignment="1">
      <alignment vertical="center" wrapText="1"/>
      <protection/>
    </xf>
    <xf numFmtId="0" fontId="3" fillId="32" borderId="14" xfId="61" applyFont="1" applyFill="1" applyBorder="1" applyAlignment="1">
      <alignment horizontal="center" vertical="center" wrapText="1"/>
      <protection/>
    </xf>
    <xf numFmtId="0" fontId="3" fillId="32" borderId="15" xfId="61" applyFont="1" applyFill="1" applyBorder="1" applyAlignment="1">
      <alignment vertical="center" wrapText="1"/>
      <protection/>
    </xf>
    <xf numFmtId="14" fontId="18" fillId="32" borderId="0" xfId="63" applyNumberFormat="1" applyFont="1" applyFill="1" applyAlignment="1">
      <alignment horizontal="center" vertical="center" wrapText="1"/>
      <protection/>
    </xf>
    <xf numFmtId="0" fontId="18" fillId="32" borderId="13" xfId="63" applyFont="1" applyFill="1" applyBorder="1" applyAlignment="1">
      <alignment horizontal="center" vertical="center" wrapText="1"/>
      <protection/>
    </xf>
    <xf numFmtId="0" fontId="18" fillId="32" borderId="0" xfId="63" applyFont="1" applyFill="1" applyAlignment="1">
      <alignment horizontal="center" vertical="center" wrapText="1"/>
      <protection/>
    </xf>
    <xf numFmtId="0" fontId="1" fillId="32" borderId="0" xfId="63" applyFont="1" applyFill="1" applyAlignment="1">
      <alignment horizontal="center" vertical="center" wrapText="1"/>
      <protection/>
    </xf>
    <xf numFmtId="0" fontId="1" fillId="32" borderId="15" xfId="60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vertical="top"/>
    </xf>
    <xf numFmtId="0" fontId="3" fillId="32" borderId="16" xfId="61" applyFont="1" applyFill="1" applyBorder="1" applyAlignment="1">
      <alignment horizontal="center" vertical="center" wrapText="1"/>
      <protection/>
    </xf>
    <xf numFmtId="0" fontId="1" fillId="32" borderId="15" xfId="61" applyFont="1" applyFill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 wrapText="1"/>
      <protection/>
    </xf>
    <xf numFmtId="49" fontId="3" fillId="32" borderId="0" xfId="63" applyNumberFormat="1" applyFont="1" applyFill="1" applyAlignment="1">
      <alignment horizontal="center" vertical="center" wrapText="1"/>
      <protection/>
    </xf>
    <xf numFmtId="14" fontId="1" fillId="32" borderId="15" xfId="63" applyNumberFormat="1" applyFont="1" applyFill="1" applyBorder="1" applyAlignment="1">
      <alignment horizontal="center" vertical="center" wrapText="1"/>
      <protection/>
    </xf>
    <xf numFmtId="49" fontId="19" fillId="0" borderId="0" xfId="0" applyNumberFormat="1" applyFont="1" applyAlignment="1">
      <alignment horizontal="center" vertical="center" wrapText="1"/>
    </xf>
    <xf numFmtId="0" fontId="3" fillId="32" borderId="14" xfId="63" applyFont="1" applyFill="1" applyBorder="1" applyAlignment="1">
      <alignment horizontal="center" vertical="center" wrapText="1"/>
      <protection/>
    </xf>
    <xf numFmtId="0" fontId="3" fillId="32" borderId="0" xfId="63" applyFont="1" applyFill="1" applyAlignment="1">
      <alignment horizontal="center" vertical="center" wrapText="1"/>
      <protection/>
    </xf>
    <xf numFmtId="0" fontId="3" fillId="32" borderId="17" xfId="63" applyFont="1" applyFill="1" applyBorder="1" applyAlignment="1">
      <alignment horizontal="center" vertical="center" wrapText="1"/>
      <protection/>
    </xf>
    <xf numFmtId="0" fontId="1" fillId="32" borderId="18" xfId="61" applyFont="1" applyFill="1" applyBorder="1" applyAlignment="1">
      <alignment horizontal="right" vertical="center" wrapText="1" indent="1"/>
      <protection/>
    </xf>
    <xf numFmtId="0" fontId="1" fillId="32" borderId="19" xfId="61" applyFont="1" applyFill="1" applyBorder="1" applyAlignment="1">
      <alignment horizontal="right" vertical="center" wrapText="1" indent="1"/>
      <protection/>
    </xf>
    <xf numFmtId="49" fontId="18" fillId="0" borderId="0" xfId="63" applyNumberFormat="1" applyFont="1" applyAlignment="1">
      <alignment horizontal="left" vertical="center" wrapText="1"/>
      <protection/>
    </xf>
    <xf numFmtId="49" fontId="1" fillId="32" borderId="13" xfId="63" applyNumberFormat="1" applyFont="1" applyFill="1" applyBorder="1" applyAlignment="1">
      <alignment horizontal="center" vertical="center" wrapText="1"/>
      <protection/>
    </xf>
    <xf numFmtId="49" fontId="1" fillId="32" borderId="18" xfId="63" applyNumberFormat="1" applyFont="1" applyFill="1" applyBorder="1" applyAlignment="1">
      <alignment horizontal="right" vertical="center" wrapText="1" indent="1"/>
      <protection/>
    </xf>
    <xf numFmtId="49" fontId="1" fillId="0" borderId="0" xfId="63" applyNumberFormat="1" applyFont="1" applyAlignment="1">
      <alignment horizontal="center" vertical="center" wrapText="1"/>
      <protection/>
    </xf>
    <xf numFmtId="49" fontId="1" fillId="32" borderId="19" xfId="63" applyNumberFormat="1" applyFont="1" applyFill="1" applyBorder="1" applyAlignment="1">
      <alignment horizontal="right" vertical="center" wrapText="1" indent="1"/>
      <protection/>
    </xf>
    <xf numFmtId="0" fontId="1" fillId="32" borderId="20" xfId="61" applyFont="1" applyFill="1" applyBorder="1" applyAlignment="1">
      <alignment vertical="center" wrapText="1"/>
      <protection/>
    </xf>
    <xf numFmtId="0" fontId="1" fillId="32" borderId="21" xfId="61" applyFont="1" applyFill="1" applyBorder="1" applyAlignment="1">
      <alignment vertical="center" wrapText="1"/>
      <protection/>
    </xf>
    <xf numFmtId="0" fontId="1" fillId="32" borderId="21" xfId="61" applyFont="1" applyFill="1" applyBorder="1" applyAlignment="1">
      <alignment horizontal="center" vertical="center" wrapText="1"/>
      <protection/>
    </xf>
    <xf numFmtId="0" fontId="1" fillId="32" borderId="22" xfId="61" applyFont="1" applyFill="1" applyBorder="1" applyAlignment="1">
      <alignment horizontal="center" vertical="center" wrapText="1"/>
      <protection/>
    </xf>
    <xf numFmtId="0" fontId="1" fillId="0" borderId="0" xfId="60" applyFont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8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177" fontId="24" fillId="0" borderId="0" xfId="0" applyNumberFormat="1" applyFont="1" applyAlignment="1">
      <alignment/>
    </xf>
    <xf numFmtId="177" fontId="23" fillId="0" borderId="0" xfId="0" applyNumberFormat="1" applyFont="1" applyAlignment="1">
      <alignment/>
    </xf>
    <xf numFmtId="0" fontId="11" fillId="0" borderId="0" xfId="59" applyFont="1" applyAlignment="1">
      <alignment horizontal="left"/>
      <protection/>
    </xf>
    <xf numFmtId="0" fontId="12" fillId="0" borderId="0" xfId="59" applyFont="1">
      <alignment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>
      <alignment/>
      <protection/>
    </xf>
    <xf numFmtId="0" fontId="14" fillId="0" borderId="0" xfId="59" applyFont="1" applyAlignment="1">
      <alignment horizontal="left"/>
      <protection/>
    </xf>
    <xf numFmtId="0" fontId="14" fillId="0" borderId="0" xfId="59" applyFont="1">
      <alignment/>
      <protection/>
    </xf>
    <xf numFmtId="0" fontId="15" fillId="0" borderId="0" xfId="59" applyFont="1">
      <alignment/>
      <protection/>
    </xf>
    <xf numFmtId="0" fontId="16" fillId="0" borderId="0" xfId="59" applyFont="1" applyAlignment="1">
      <alignment horizontal="center" vertical="center" wrapText="1"/>
      <protection/>
    </xf>
    <xf numFmtId="0" fontId="16" fillId="0" borderId="0" xfId="59" applyFont="1">
      <alignment/>
      <protection/>
    </xf>
    <xf numFmtId="0" fontId="12" fillId="0" borderId="0" xfId="59" applyFont="1" applyAlignment="1">
      <alignment horizontal="centerContinuous" wrapText="1"/>
      <protection/>
    </xf>
    <xf numFmtId="174" fontId="13" fillId="0" borderId="0" xfId="59" applyNumberFormat="1" applyFont="1">
      <alignment/>
      <protection/>
    </xf>
    <xf numFmtId="0" fontId="17" fillId="0" borderId="0" xfId="59" applyFont="1">
      <alignment/>
      <protection/>
    </xf>
    <xf numFmtId="0" fontId="16" fillId="0" borderId="0" xfId="59" applyFont="1" applyAlignment="1">
      <alignment horizontal="left" vertical="center" wrapText="1"/>
      <protection/>
    </xf>
    <xf numFmtId="0" fontId="16" fillId="0" borderId="0" xfId="59" applyFont="1" applyAlignment="1">
      <alignment vertical="top" wrapText="1"/>
      <protection/>
    </xf>
    <xf numFmtId="0" fontId="10" fillId="0" borderId="0" xfId="59" applyFont="1" applyAlignment="1">
      <alignment horizontal="left"/>
      <protection/>
    </xf>
    <xf numFmtId="174" fontId="8" fillId="0" borderId="0" xfId="0" applyNumberFormat="1" applyFont="1" applyAlignment="1">
      <alignment/>
    </xf>
    <xf numFmtId="0" fontId="83" fillId="0" borderId="0" xfId="0" applyFont="1" applyAlignment="1">
      <alignment/>
    </xf>
    <xf numFmtId="0" fontId="51" fillId="0" borderId="0" xfId="59" applyFont="1" applyAlignment="1">
      <alignment horizontal="center" vertical="center" wrapText="1"/>
      <protection/>
    </xf>
    <xf numFmtId="0" fontId="51" fillId="0" borderId="0" xfId="59" applyFont="1">
      <alignment/>
      <protection/>
    </xf>
    <xf numFmtId="0" fontId="52" fillId="0" borderId="0" xfId="59" applyFont="1" applyAlignment="1">
      <alignment horizontal="center" vertical="center" wrapText="1"/>
      <protection/>
    </xf>
    <xf numFmtId="0" fontId="52" fillId="0" borderId="0" xfId="59" applyFont="1">
      <alignment/>
      <protection/>
    </xf>
    <xf numFmtId="0" fontId="52" fillId="0" borderId="0" xfId="59" applyFont="1" applyAlignment="1" applyProtection="1">
      <alignment horizontal="centerContinuous" vertical="center" wrapText="1"/>
      <protection hidden="1"/>
    </xf>
    <xf numFmtId="0" fontId="52" fillId="0" borderId="0" xfId="59" applyFont="1" applyAlignment="1">
      <alignment horizontal="centerContinuous" vertical="center" wrapText="1"/>
      <protection/>
    </xf>
    <xf numFmtId="0" fontId="51" fillId="0" borderId="0" xfId="59" applyFont="1" applyAlignment="1">
      <alignment horizontal="centerContinuous" wrapText="1"/>
      <protection/>
    </xf>
    <xf numFmtId="0" fontId="52" fillId="0" borderId="23" xfId="59" applyFont="1" applyBorder="1" applyAlignment="1">
      <alignment horizontal="center" vertical="center" wrapText="1"/>
      <protection/>
    </xf>
    <xf numFmtId="0" fontId="52" fillId="0" borderId="24" xfId="59" applyFont="1" applyBorder="1" applyAlignment="1">
      <alignment horizontal="center" vertical="center" wrapText="1"/>
      <protection/>
    </xf>
    <xf numFmtId="0" fontId="52" fillId="0" borderId="24" xfId="59" applyFont="1" applyBorder="1" applyAlignment="1">
      <alignment horizontal="center"/>
      <protection/>
    </xf>
    <xf numFmtId="0" fontId="52" fillId="0" borderId="25" xfId="64" applyFont="1" applyBorder="1" applyAlignment="1" applyProtection="1">
      <alignment horizontal="center" vertical="center" wrapText="1"/>
      <protection hidden="1"/>
    </xf>
    <xf numFmtId="0" fontId="52" fillId="0" borderId="26" xfId="64" applyFont="1" applyBorder="1" applyAlignment="1" applyProtection="1">
      <alignment horizontal="center" vertical="center" wrapText="1"/>
      <protection hidden="1"/>
    </xf>
    <xf numFmtId="0" fontId="51" fillId="0" borderId="27" xfId="59" applyFont="1" applyBorder="1" applyAlignment="1">
      <alignment horizontal="center" vertical="center" wrapText="1"/>
      <protection/>
    </xf>
    <xf numFmtId="0" fontId="51" fillId="0" borderId="28" xfId="59" applyFont="1" applyBorder="1" applyAlignment="1">
      <alignment vertical="center" wrapText="1"/>
      <protection/>
    </xf>
    <xf numFmtId="0" fontId="51" fillId="0" borderId="28" xfId="59" applyFont="1" applyBorder="1" applyAlignment="1">
      <alignment horizontal="center" vertical="top" wrapText="1"/>
      <protection/>
    </xf>
    <xf numFmtId="0" fontId="51" fillId="0" borderId="28" xfId="59" applyFont="1" applyBorder="1" applyAlignment="1">
      <alignment horizontal="center" vertical="center"/>
      <protection/>
    </xf>
    <xf numFmtId="0" fontId="51" fillId="0" borderId="29" xfId="59" applyFont="1" applyBorder="1" applyAlignment="1">
      <alignment horizontal="center" vertical="center" wrapText="1"/>
      <protection/>
    </xf>
    <xf numFmtId="0" fontId="51" fillId="0" borderId="30" xfId="59" applyFont="1" applyBorder="1" applyAlignment="1">
      <alignment vertical="center" wrapText="1"/>
      <protection/>
    </xf>
    <xf numFmtId="0" fontId="51" fillId="0" borderId="30" xfId="59" applyFont="1" applyBorder="1" applyAlignment="1">
      <alignment horizontal="center" vertical="center"/>
      <protection/>
    </xf>
    <xf numFmtId="0" fontId="51" fillId="0" borderId="0" xfId="59" applyFont="1" applyAlignment="1">
      <alignment vertical="center" wrapText="1"/>
      <protection/>
    </xf>
    <xf numFmtId="0" fontId="52" fillId="0" borderId="0" xfId="59" applyFont="1" applyAlignment="1">
      <alignment horizontal="left" vertical="center" wrapText="1"/>
      <protection/>
    </xf>
    <xf numFmtId="0" fontId="51" fillId="0" borderId="0" xfId="59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4" fillId="0" borderId="0" xfId="0" applyFont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175" fontId="54" fillId="0" borderId="0" xfId="0" applyNumberFormat="1" applyFont="1" applyAlignment="1">
      <alignment/>
    </xf>
    <xf numFmtId="0" fontId="56" fillId="0" borderId="0" xfId="0" applyFont="1" applyAlignment="1">
      <alignment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vertical="center" wrapText="1"/>
    </xf>
    <xf numFmtId="174" fontId="55" fillId="0" borderId="37" xfId="0" applyNumberFormat="1" applyFont="1" applyBorder="1" applyAlignment="1">
      <alignment horizontal="center" vertical="center"/>
    </xf>
    <xf numFmtId="174" fontId="55" fillId="0" borderId="39" xfId="0" applyNumberFormat="1" applyFont="1" applyBorder="1" applyAlignment="1">
      <alignment horizontal="center" vertical="center"/>
    </xf>
    <xf numFmtId="174" fontId="55" fillId="0" borderId="38" xfId="0" applyNumberFormat="1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vertical="center" wrapText="1"/>
    </xf>
    <xf numFmtId="174" fontId="54" fillId="0" borderId="39" xfId="0" applyNumberFormat="1" applyFont="1" applyBorder="1" applyAlignment="1">
      <alignment horizontal="center" vertical="center"/>
    </xf>
    <xf numFmtId="174" fontId="54" fillId="0" borderId="38" xfId="0" applyNumberFormat="1" applyFont="1" applyBorder="1" applyAlignment="1">
      <alignment horizontal="center" vertical="center"/>
    </xf>
    <xf numFmtId="174" fontId="54" fillId="0" borderId="40" xfId="0" applyNumberFormat="1" applyFont="1" applyBorder="1" applyAlignment="1">
      <alignment horizontal="center"/>
    </xf>
    <xf numFmtId="174" fontId="54" fillId="0" borderId="0" xfId="0" applyNumberFormat="1" applyFont="1" applyAlignment="1">
      <alignment/>
    </xf>
    <xf numFmtId="10" fontId="54" fillId="0" borderId="37" xfId="0" applyNumberFormat="1" applyFont="1" applyBorder="1" applyAlignment="1">
      <alignment horizontal="center" vertical="center"/>
    </xf>
    <xf numFmtId="10" fontId="54" fillId="0" borderId="39" xfId="0" applyNumberFormat="1" applyFont="1" applyBorder="1" applyAlignment="1">
      <alignment horizontal="center" vertical="center"/>
    </xf>
    <xf numFmtId="10" fontId="54" fillId="0" borderId="38" xfId="0" applyNumberFormat="1" applyFont="1" applyBorder="1" applyAlignment="1">
      <alignment horizontal="center" vertical="center"/>
    </xf>
    <xf numFmtId="0" fontId="55" fillId="0" borderId="38" xfId="0" applyFont="1" applyBorder="1" applyAlignment="1">
      <alignment horizontal="left" vertical="center" wrapText="1"/>
    </xf>
    <xf numFmtId="174" fontId="54" fillId="0" borderId="37" xfId="0" applyNumberFormat="1" applyFont="1" applyBorder="1" applyAlignment="1">
      <alignment horizontal="center" vertical="center"/>
    </xf>
    <xf numFmtId="0" fontId="57" fillId="0" borderId="38" xfId="0" applyFont="1" applyBorder="1" applyAlignment="1">
      <alignment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33" xfId="0" applyFont="1" applyBorder="1" applyAlignment="1">
      <alignment vertical="center" wrapText="1"/>
    </xf>
    <xf numFmtId="174" fontId="54" fillId="0" borderId="31" xfId="0" applyNumberFormat="1" applyFont="1" applyBorder="1" applyAlignment="1">
      <alignment horizontal="center" vertical="center"/>
    </xf>
    <xf numFmtId="174" fontId="54" fillId="0" borderId="32" xfId="0" applyNumberFormat="1" applyFont="1" applyBorder="1" applyAlignment="1">
      <alignment horizontal="center" vertical="center"/>
    </xf>
    <xf numFmtId="174" fontId="54" fillId="0" borderId="33" xfId="0" applyNumberFormat="1" applyFont="1" applyBorder="1" applyAlignment="1">
      <alignment horizontal="center" vertical="center"/>
    </xf>
    <xf numFmtId="174" fontId="84" fillId="0" borderId="0" xfId="0" applyNumberFormat="1" applyFont="1" applyAlignment="1">
      <alignment/>
    </xf>
    <xf numFmtId="0" fontId="54" fillId="33" borderId="41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horizontal="center" vertical="center"/>
    </xf>
    <xf numFmtId="0" fontId="54" fillId="33" borderId="42" xfId="0" applyFont="1" applyFill="1" applyBorder="1" applyAlignment="1">
      <alignment horizontal="center" vertical="center" wrapText="1"/>
    </xf>
    <xf numFmtId="0" fontId="54" fillId="33" borderId="43" xfId="0" applyFont="1" applyFill="1" applyBorder="1" applyAlignment="1">
      <alignment horizontal="center" vertical="center" wrapText="1"/>
    </xf>
    <xf numFmtId="0" fontId="58" fillId="0" borderId="44" xfId="0" applyFont="1" applyBorder="1" applyAlignment="1">
      <alignment vertical="center" wrapText="1"/>
    </xf>
    <xf numFmtId="174" fontId="54" fillId="0" borderId="45" xfId="0" applyNumberFormat="1" applyFont="1" applyBorder="1" applyAlignment="1">
      <alignment horizontal="center" vertical="center"/>
    </xf>
    <xf numFmtId="174" fontId="54" fillId="0" borderId="25" xfId="0" applyNumberFormat="1" applyFont="1" applyBorder="1" applyAlignment="1">
      <alignment horizontal="center" vertical="center"/>
    </xf>
    <xf numFmtId="174" fontId="54" fillId="0" borderId="26" xfId="0" applyNumberFormat="1" applyFont="1" applyBorder="1" applyAlignment="1">
      <alignment horizontal="center" vertical="center"/>
    </xf>
    <xf numFmtId="0" fontId="59" fillId="0" borderId="44" xfId="0" applyFont="1" applyBorder="1" applyAlignment="1">
      <alignment vertical="center" wrapText="1"/>
    </xf>
    <xf numFmtId="174" fontId="54" fillId="0" borderId="27" xfId="0" applyNumberFormat="1" applyFont="1" applyBorder="1" applyAlignment="1">
      <alignment horizontal="center" vertical="center"/>
    </xf>
    <xf numFmtId="174" fontId="54" fillId="0" borderId="28" xfId="0" applyNumberFormat="1" applyFont="1" applyBorder="1" applyAlignment="1">
      <alignment horizontal="center" vertical="center"/>
    </xf>
    <xf numFmtId="174" fontId="54" fillId="0" borderId="40" xfId="0" applyNumberFormat="1" applyFont="1" applyBorder="1" applyAlignment="1">
      <alignment horizontal="center" vertical="center"/>
    </xf>
    <xf numFmtId="10" fontId="54" fillId="0" borderId="27" xfId="0" applyNumberFormat="1" applyFont="1" applyBorder="1" applyAlignment="1">
      <alignment horizontal="center" vertical="center"/>
    </xf>
    <xf numFmtId="10" fontId="54" fillId="0" borderId="28" xfId="0" applyNumberFormat="1" applyFont="1" applyBorder="1" applyAlignment="1">
      <alignment horizontal="center" vertical="center"/>
    </xf>
    <xf numFmtId="10" fontId="54" fillId="0" borderId="40" xfId="0" applyNumberFormat="1" applyFont="1" applyBorder="1" applyAlignment="1">
      <alignment horizontal="center" vertical="center"/>
    </xf>
    <xf numFmtId="0" fontId="58" fillId="0" borderId="44" xfId="0" applyFont="1" applyBorder="1" applyAlignment="1">
      <alignment horizontal="left" vertical="center" wrapText="1"/>
    </xf>
    <xf numFmtId="0" fontId="59" fillId="0" borderId="46" xfId="0" applyFont="1" applyBorder="1" applyAlignment="1">
      <alignment vertical="center" wrapText="1"/>
    </xf>
    <xf numFmtId="174" fontId="54" fillId="0" borderId="29" xfId="0" applyNumberFormat="1" applyFont="1" applyBorder="1" applyAlignment="1">
      <alignment horizontal="center" vertical="center"/>
    </xf>
    <xf numFmtId="174" fontId="54" fillId="0" borderId="30" xfId="0" applyNumberFormat="1" applyFont="1" applyBorder="1" applyAlignment="1">
      <alignment horizontal="center" vertical="center"/>
    </xf>
    <xf numFmtId="174" fontId="54" fillId="0" borderId="47" xfId="0" applyNumberFormat="1" applyFont="1" applyBorder="1" applyAlignment="1">
      <alignment horizontal="center" vertical="center"/>
    </xf>
    <xf numFmtId="0" fontId="60" fillId="0" borderId="0" xfId="0" applyFont="1" applyAlignment="1">
      <alignment wrapText="1"/>
    </xf>
    <xf numFmtId="177" fontId="61" fillId="0" borderId="0" xfId="0" applyNumberFormat="1" applyFont="1" applyAlignment="1">
      <alignment/>
    </xf>
    <xf numFmtId="177" fontId="6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51" fillId="0" borderId="29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51" fillId="0" borderId="48" xfId="62" applyFont="1" applyBorder="1" applyAlignment="1">
      <alignment horizontal="center" vertical="center"/>
      <protection/>
    </xf>
    <xf numFmtId="0" fontId="51" fillId="0" borderId="50" xfId="62" applyFont="1" applyBorder="1" applyAlignment="1">
      <alignment horizontal="center" vertical="center"/>
      <protection/>
    </xf>
    <xf numFmtId="174" fontId="51" fillId="0" borderId="51" xfId="0" applyNumberFormat="1" applyFont="1" applyBorder="1" applyAlignment="1">
      <alignment horizontal="center" vertical="center"/>
    </xf>
    <xf numFmtId="174" fontId="51" fillId="0" borderId="52" xfId="0" applyNumberFormat="1" applyFont="1" applyBorder="1" applyAlignment="1">
      <alignment horizontal="center" vertical="center"/>
    </xf>
    <xf numFmtId="174" fontId="51" fillId="0" borderId="53" xfId="0" applyNumberFormat="1" applyFont="1" applyBorder="1" applyAlignment="1">
      <alignment horizontal="center" vertical="center"/>
    </xf>
    <xf numFmtId="174" fontId="51" fillId="0" borderId="27" xfId="0" applyNumberFormat="1" applyFont="1" applyBorder="1" applyAlignment="1">
      <alignment horizontal="center" vertical="center"/>
    </xf>
    <xf numFmtId="174" fontId="51" fillId="0" borderId="28" xfId="0" applyNumberFormat="1" applyFont="1" applyBorder="1" applyAlignment="1">
      <alignment horizontal="center" vertical="center"/>
    </xf>
    <xf numFmtId="174" fontId="51" fillId="0" borderId="40" xfId="0" applyNumberFormat="1" applyFont="1" applyBorder="1" applyAlignment="1">
      <alignment horizontal="center" vertical="center"/>
    </xf>
    <xf numFmtId="174" fontId="51" fillId="0" borderId="54" xfId="0" applyNumberFormat="1" applyFont="1" applyBorder="1" applyAlignment="1">
      <alignment horizontal="center" vertical="center"/>
    </xf>
    <xf numFmtId="174" fontId="51" fillId="0" borderId="55" xfId="0" applyNumberFormat="1" applyFont="1" applyBorder="1" applyAlignment="1">
      <alignment horizontal="center" vertical="center"/>
    </xf>
    <xf numFmtId="174" fontId="51" fillId="0" borderId="56" xfId="0" applyNumberFormat="1" applyFont="1" applyBorder="1" applyAlignment="1">
      <alignment horizontal="center" vertical="center"/>
    </xf>
    <xf numFmtId="174" fontId="51" fillId="0" borderId="48" xfId="0" applyNumberFormat="1" applyFont="1" applyBorder="1" applyAlignment="1">
      <alignment horizontal="center" vertical="center"/>
    </xf>
    <xf numFmtId="174" fontId="51" fillId="0" borderId="50" xfId="0" applyNumberFormat="1" applyFont="1" applyBorder="1" applyAlignment="1">
      <alignment horizontal="center" vertical="center"/>
    </xf>
    <xf numFmtId="174" fontId="51" fillId="0" borderId="49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/>
    </xf>
    <xf numFmtId="0" fontId="51" fillId="0" borderId="53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49" fontId="51" fillId="0" borderId="51" xfId="0" applyNumberFormat="1" applyFont="1" applyBorder="1" applyAlignment="1">
      <alignment horizontal="center" vertical="center"/>
    </xf>
    <xf numFmtId="0" fontId="51" fillId="0" borderId="57" xfId="0" applyFont="1" applyBorder="1" applyAlignment="1">
      <alignment horizontal="left" vertical="center"/>
    </xf>
    <xf numFmtId="0" fontId="51" fillId="0" borderId="58" xfId="0" applyFont="1" applyBorder="1" applyAlignment="1">
      <alignment horizontal="left" vertical="center"/>
    </xf>
    <xf numFmtId="49" fontId="51" fillId="0" borderId="27" xfId="0" applyNumberFormat="1" applyFont="1" applyBorder="1" applyAlignment="1">
      <alignment horizontal="center" vertical="center"/>
    </xf>
    <xf numFmtId="0" fontId="51" fillId="0" borderId="59" xfId="0" applyFont="1" applyBorder="1" applyAlignment="1">
      <alignment horizontal="left" vertical="center"/>
    </xf>
    <xf numFmtId="0" fontId="51" fillId="0" borderId="60" xfId="0" applyFont="1" applyBorder="1" applyAlignment="1">
      <alignment horizontal="left" vertical="center"/>
    </xf>
    <xf numFmtId="0" fontId="51" fillId="0" borderId="61" xfId="0" applyFont="1" applyBorder="1" applyAlignment="1">
      <alignment vertical="center"/>
    </xf>
    <xf numFmtId="0" fontId="51" fillId="0" borderId="62" xfId="0" applyFont="1" applyBorder="1" applyAlignment="1">
      <alignment vertical="center"/>
    </xf>
    <xf numFmtId="0" fontId="51" fillId="0" borderId="63" xfId="0" applyFont="1" applyBorder="1" applyAlignment="1">
      <alignment vertical="center"/>
    </xf>
    <xf numFmtId="0" fontId="51" fillId="0" borderId="64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65" xfId="0" applyFont="1" applyBorder="1" applyAlignment="1">
      <alignment vertical="center"/>
    </xf>
    <xf numFmtId="0" fontId="51" fillId="0" borderId="57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1" fillId="0" borderId="58" xfId="0" applyFont="1" applyBorder="1" applyAlignment="1">
      <alignment vertical="center"/>
    </xf>
    <xf numFmtId="49" fontId="51" fillId="0" borderId="54" xfId="0" applyNumberFormat="1" applyFont="1" applyBorder="1" applyAlignment="1">
      <alignment horizontal="center" vertical="center"/>
    </xf>
    <xf numFmtId="0" fontId="51" fillId="0" borderId="61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49" fontId="51" fillId="0" borderId="48" xfId="0" applyNumberFormat="1" applyFont="1" applyBorder="1" applyAlignment="1">
      <alignment horizontal="center" vertical="center"/>
    </xf>
    <xf numFmtId="0" fontId="51" fillId="0" borderId="66" xfId="0" applyFont="1" applyBorder="1" applyAlignment="1">
      <alignment horizontal="left" vertical="center"/>
    </xf>
    <xf numFmtId="0" fontId="51" fillId="0" borderId="67" xfId="0" applyFont="1" applyBorder="1" applyAlignment="1">
      <alignment horizontal="left" vertical="center"/>
    </xf>
    <xf numFmtId="2" fontId="7" fillId="0" borderId="0" xfId="57" applyNumberFormat="1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right"/>
      <protection/>
    </xf>
    <xf numFmtId="0" fontId="7" fillId="0" borderId="28" xfId="57" applyFont="1" applyBorder="1" applyAlignment="1">
      <alignment horizontal="center"/>
      <protection/>
    </xf>
    <xf numFmtId="2" fontId="7" fillId="0" borderId="28" xfId="57" applyNumberFormat="1" applyFont="1" applyBorder="1" applyAlignment="1">
      <alignment horizontal="center"/>
      <protection/>
    </xf>
    <xf numFmtId="2" fontId="27" fillId="0" borderId="28" xfId="57" applyNumberFormat="1" applyFont="1" applyBorder="1" applyAlignment="1">
      <alignment horizontal="center"/>
      <protection/>
    </xf>
    <xf numFmtId="0" fontId="27" fillId="0" borderId="28" xfId="57" applyFont="1" applyBorder="1" applyAlignment="1">
      <alignment horizontal="center"/>
      <protection/>
    </xf>
    <xf numFmtId="0" fontId="0" fillId="0" borderId="28" xfId="0" applyBorder="1" applyAlignment="1">
      <alignment horizontal="center" vertical="center" wrapText="1"/>
    </xf>
    <xf numFmtId="0" fontId="7" fillId="0" borderId="60" xfId="57" applyFont="1" applyBorder="1" applyAlignment="1">
      <alignment horizontal="center" vertical="center" wrapText="1"/>
      <protection/>
    </xf>
    <xf numFmtId="0" fontId="7" fillId="0" borderId="55" xfId="57" applyFont="1" applyBorder="1" applyAlignment="1">
      <alignment horizontal="center" vertical="center" wrapText="1"/>
      <protection/>
    </xf>
    <xf numFmtId="0" fontId="7" fillId="0" borderId="52" xfId="57" applyFont="1" applyBorder="1" applyAlignment="1">
      <alignment horizontal="center" vertical="center" wrapText="1"/>
      <protection/>
    </xf>
    <xf numFmtId="2" fontId="7" fillId="0" borderId="55" xfId="57" applyNumberFormat="1" applyFont="1" applyBorder="1" applyAlignment="1">
      <alignment horizontal="center" vertical="center" wrapText="1"/>
      <protection/>
    </xf>
    <xf numFmtId="2" fontId="7" fillId="0" borderId="52" xfId="57" applyNumberFormat="1" applyFont="1" applyBorder="1" applyAlignment="1">
      <alignment horizontal="center" vertical="center" wrapText="1"/>
      <protection/>
    </xf>
    <xf numFmtId="0" fontId="29" fillId="0" borderId="68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49" fontId="9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0" fontId="0" fillId="0" borderId="28" xfId="0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0" fontId="51" fillId="0" borderId="45" xfId="59" applyFont="1" applyBorder="1" applyAlignment="1">
      <alignment horizontal="center" vertical="center" wrapText="1"/>
      <protection/>
    </xf>
    <xf numFmtId="0" fontId="51" fillId="0" borderId="25" xfId="59" applyFont="1" applyBorder="1" applyAlignment="1">
      <alignment vertical="center" wrapText="1"/>
      <protection/>
    </xf>
    <xf numFmtId="0" fontId="51" fillId="0" borderId="25" xfId="59" applyFont="1" applyBorder="1" applyAlignment="1">
      <alignment horizontal="center" vertical="top" wrapText="1"/>
      <protection/>
    </xf>
    <xf numFmtId="0" fontId="64" fillId="0" borderId="0" xfId="57" applyAlignment="1">
      <alignment horizontal="center" vertical="center" wrapText="1"/>
      <protection/>
    </xf>
    <xf numFmtId="177" fontId="82" fillId="0" borderId="0" xfId="57" applyNumberFormat="1" applyFont="1" applyAlignment="1">
      <alignment horizontal="center" vertical="center" wrapText="1"/>
      <protection/>
    </xf>
    <xf numFmtId="177" fontId="82" fillId="0" borderId="28" xfId="57" applyNumberFormat="1" applyFont="1" applyBorder="1" applyAlignment="1">
      <alignment horizontal="center" vertical="center" wrapText="1"/>
      <protection/>
    </xf>
    <xf numFmtId="1" fontId="82" fillId="0" borderId="28" xfId="57" applyNumberFormat="1" applyFont="1" applyBorder="1" applyAlignment="1">
      <alignment horizontal="center" vertical="center" wrapText="1"/>
      <protection/>
    </xf>
    <xf numFmtId="177" fontId="82" fillId="0" borderId="28" xfId="57" applyNumberFormat="1" applyFont="1" applyBorder="1" applyAlignment="1">
      <alignment horizontal="left" vertical="center" wrapText="1"/>
      <protection/>
    </xf>
    <xf numFmtId="174" fontId="82" fillId="0" borderId="28" xfId="57" applyNumberFormat="1" applyFont="1" applyBorder="1" applyAlignment="1">
      <alignment horizontal="center" vertical="center" wrapText="1"/>
      <protection/>
    </xf>
    <xf numFmtId="177" fontId="85" fillId="0" borderId="28" xfId="57" applyNumberFormat="1" applyFont="1" applyBorder="1" applyAlignment="1">
      <alignment horizontal="center" vertical="center" wrapText="1"/>
      <protection/>
    </xf>
    <xf numFmtId="2" fontId="85" fillId="0" borderId="28" xfId="57" applyNumberFormat="1" applyFont="1" applyBorder="1" applyAlignment="1">
      <alignment horizontal="center" vertical="center" wrapText="1"/>
      <protection/>
    </xf>
    <xf numFmtId="49" fontId="82" fillId="0" borderId="28" xfId="57" applyNumberFormat="1" applyFont="1" applyBorder="1" applyAlignment="1">
      <alignment horizontal="center" vertical="center" wrapText="1"/>
      <protection/>
    </xf>
    <xf numFmtId="49" fontId="85" fillId="0" borderId="28" xfId="57" applyNumberFormat="1" applyFont="1" applyBorder="1" applyAlignment="1">
      <alignment horizontal="center" vertical="center" wrapText="1"/>
      <protection/>
    </xf>
    <xf numFmtId="174" fontId="30" fillId="0" borderId="28" xfId="0" applyNumberFormat="1" applyFont="1" applyBorder="1" applyAlignment="1">
      <alignment/>
    </xf>
    <xf numFmtId="174" fontId="55" fillId="0" borderId="40" xfId="0" applyNumberFormat="1" applyFont="1" applyBorder="1" applyAlignment="1">
      <alignment horizontal="center"/>
    </xf>
    <xf numFmtId="174" fontId="54" fillId="0" borderId="45" xfId="0" applyNumberFormat="1" applyFont="1" applyFill="1" applyBorder="1" applyAlignment="1">
      <alignment horizontal="center" vertical="center"/>
    </xf>
    <xf numFmtId="174" fontId="54" fillId="0" borderId="25" xfId="0" applyNumberFormat="1" applyFont="1" applyFill="1" applyBorder="1" applyAlignment="1">
      <alignment horizontal="center" vertical="center"/>
    </xf>
    <xf numFmtId="174" fontId="54" fillId="0" borderId="26" xfId="0" applyNumberFormat="1" applyFont="1" applyFill="1" applyBorder="1" applyAlignment="1">
      <alignment horizontal="center" vertical="center"/>
    </xf>
    <xf numFmtId="174" fontId="54" fillId="0" borderId="28" xfId="0" applyNumberFormat="1" applyFont="1" applyFill="1" applyBorder="1" applyAlignment="1">
      <alignment horizontal="center" vertical="center"/>
    </xf>
    <xf numFmtId="174" fontId="54" fillId="0" borderId="40" xfId="0" applyNumberFormat="1" applyFont="1" applyFill="1" applyBorder="1" applyAlignment="1">
      <alignment horizontal="center" vertical="center"/>
    </xf>
    <xf numFmtId="174" fontId="54" fillId="0" borderId="27" xfId="0" applyNumberFormat="1" applyFont="1" applyFill="1" applyBorder="1" applyAlignment="1">
      <alignment horizontal="center" vertical="center"/>
    </xf>
    <xf numFmtId="10" fontId="54" fillId="0" borderId="27" xfId="0" applyNumberFormat="1" applyFont="1" applyFill="1" applyBorder="1" applyAlignment="1">
      <alignment horizontal="center" vertical="center"/>
    </xf>
    <xf numFmtId="10" fontId="54" fillId="0" borderId="28" xfId="0" applyNumberFormat="1" applyFont="1" applyFill="1" applyBorder="1" applyAlignment="1">
      <alignment horizontal="center" vertical="center"/>
    </xf>
    <xf numFmtId="10" fontId="54" fillId="0" borderId="40" xfId="0" applyNumberFormat="1" applyFont="1" applyFill="1" applyBorder="1" applyAlignment="1">
      <alignment horizontal="center" vertical="center"/>
    </xf>
    <xf numFmtId="174" fontId="54" fillId="0" borderId="29" xfId="0" applyNumberFormat="1" applyFont="1" applyFill="1" applyBorder="1" applyAlignment="1">
      <alignment horizontal="center" vertical="center"/>
    </xf>
    <xf numFmtId="174" fontId="54" fillId="0" borderId="30" xfId="0" applyNumberFormat="1" applyFont="1" applyFill="1" applyBorder="1" applyAlignment="1">
      <alignment horizontal="center" vertical="center"/>
    </xf>
    <xf numFmtId="174" fontId="54" fillId="0" borderId="47" xfId="0" applyNumberFormat="1" applyFont="1" applyFill="1" applyBorder="1" applyAlignment="1">
      <alignment horizontal="center" vertical="center"/>
    </xf>
    <xf numFmtId="174" fontId="51" fillId="0" borderId="28" xfId="59" applyNumberFormat="1" applyFont="1" applyBorder="1" applyAlignment="1">
      <alignment horizontal="center" vertical="center"/>
      <protection/>
    </xf>
    <xf numFmtId="177" fontId="51" fillId="0" borderId="28" xfId="59" applyNumberFormat="1" applyFont="1" applyBorder="1" applyAlignment="1">
      <alignment horizontal="center" vertical="center"/>
      <protection/>
    </xf>
    <xf numFmtId="174" fontId="52" fillId="0" borderId="40" xfId="59" applyNumberFormat="1" applyFont="1" applyBorder="1" applyAlignment="1">
      <alignment horizontal="center" vertical="center"/>
      <protection/>
    </xf>
    <xf numFmtId="174" fontId="51" fillId="0" borderId="28" xfId="59" applyNumberFormat="1" applyFont="1" applyBorder="1" applyAlignment="1" applyProtection="1">
      <alignment horizontal="center" vertical="center"/>
      <protection locked="0"/>
    </xf>
    <xf numFmtId="174" fontId="52" fillId="0" borderId="28" xfId="59" applyNumberFormat="1" applyFont="1" applyBorder="1" applyAlignment="1" applyProtection="1">
      <alignment horizontal="center" vertical="center"/>
      <protection locked="0"/>
    </xf>
    <xf numFmtId="174" fontId="52" fillId="0" borderId="40" xfId="59" applyNumberFormat="1" applyFont="1" applyBorder="1" applyAlignment="1" applyProtection="1">
      <alignment horizontal="center" vertical="center"/>
      <protection locked="0"/>
    </xf>
    <xf numFmtId="2" fontId="51" fillId="0" borderId="28" xfId="59" applyNumberFormat="1" applyFont="1" applyBorder="1" applyAlignment="1" applyProtection="1">
      <alignment horizontal="center" vertical="center"/>
      <protection locked="0"/>
    </xf>
    <xf numFmtId="2" fontId="52" fillId="0" borderId="28" xfId="59" applyNumberFormat="1" applyFont="1" applyBorder="1" applyAlignment="1" applyProtection="1">
      <alignment horizontal="center" vertical="center"/>
      <protection locked="0"/>
    </xf>
    <xf numFmtId="2" fontId="52" fillId="0" borderId="40" xfId="59" applyNumberFormat="1" applyFont="1" applyBorder="1" applyAlignment="1" applyProtection="1">
      <alignment horizontal="center" vertical="center"/>
      <protection locked="0"/>
    </xf>
    <xf numFmtId="177" fontId="51" fillId="0" borderId="28" xfId="59" applyNumberFormat="1" applyFont="1" applyBorder="1" applyAlignment="1" applyProtection="1">
      <alignment horizontal="center" vertical="center"/>
      <protection locked="0"/>
    </xf>
    <xf numFmtId="174" fontId="51" fillId="0" borderId="25" xfId="59" applyNumberFormat="1" applyFont="1" applyBorder="1" applyAlignment="1" applyProtection="1">
      <alignment horizontal="center" vertical="center" wrapText="1"/>
      <protection locked="0"/>
    </xf>
    <xf numFmtId="174" fontId="52" fillId="0" borderId="25" xfId="59" applyNumberFormat="1" applyFont="1" applyBorder="1" applyAlignment="1" applyProtection="1">
      <alignment horizontal="center" vertical="center" wrapText="1"/>
      <protection locked="0"/>
    </xf>
    <xf numFmtId="174" fontId="52" fillId="0" borderId="26" xfId="59" applyNumberFormat="1" applyFont="1" applyBorder="1" applyAlignment="1" applyProtection="1">
      <alignment horizontal="center" vertical="center" wrapText="1"/>
      <protection locked="0"/>
    </xf>
    <xf numFmtId="174" fontId="52" fillId="0" borderId="28" xfId="59" applyNumberFormat="1" applyFont="1" applyBorder="1" applyAlignment="1">
      <alignment horizontal="center" vertical="center"/>
      <protection/>
    </xf>
    <xf numFmtId="174" fontId="51" fillId="0" borderId="30" xfId="59" applyNumberFormat="1" applyFont="1" applyBorder="1" applyAlignment="1">
      <alignment horizontal="center" vertical="center"/>
      <protection/>
    </xf>
    <xf numFmtId="174" fontId="52" fillId="0" borderId="30" xfId="59" applyNumberFormat="1" applyFont="1" applyBorder="1" applyAlignment="1">
      <alignment horizontal="center" vertical="center"/>
      <protection/>
    </xf>
    <xf numFmtId="174" fontId="51" fillId="0" borderId="28" xfId="59" applyNumberFormat="1" applyFont="1" applyBorder="1" applyAlignment="1" applyProtection="1">
      <alignment horizontal="center" vertical="center" wrapText="1"/>
      <protection locked="0"/>
    </xf>
    <xf numFmtId="174" fontId="52" fillId="0" borderId="28" xfId="59" applyNumberFormat="1" applyFont="1" applyBorder="1" applyAlignment="1" applyProtection="1">
      <alignment horizontal="center" vertical="center" wrapText="1"/>
      <protection locked="0"/>
    </xf>
    <xf numFmtId="174" fontId="52" fillId="0" borderId="40" xfId="59" applyNumberFormat="1" applyFont="1" applyBorder="1" applyAlignment="1" applyProtection="1">
      <alignment horizontal="center" vertical="center" wrapText="1"/>
      <protection locked="0"/>
    </xf>
    <xf numFmtId="184" fontId="52" fillId="0" borderId="40" xfId="72" applyNumberFormat="1" applyFont="1" applyBorder="1" applyAlignment="1">
      <alignment horizontal="center" vertical="center"/>
    </xf>
    <xf numFmtId="184" fontId="52" fillId="0" borderId="47" xfId="72" applyNumberFormat="1" applyFont="1" applyBorder="1" applyAlignment="1">
      <alignment horizontal="center" vertical="center"/>
    </xf>
    <xf numFmtId="177" fontId="51" fillId="0" borderId="25" xfId="59" applyNumberFormat="1" applyFont="1" applyBorder="1" applyAlignment="1" applyProtection="1">
      <alignment horizontal="center" vertical="center" wrapText="1"/>
      <protection locked="0"/>
    </xf>
    <xf numFmtId="0" fontId="51" fillId="0" borderId="30" xfId="59" applyFont="1" applyBorder="1" applyAlignment="1">
      <alignment horizontal="center" vertical="top" wrapText="1"/>
      <protection/>
    </xf>
    <xf numFmtId="174" fontId="51" fillId="0" borderId="30" xfId="59" applyNumberFormat="1" applyFont="1" applyBorder="1" applyAlignment="1" applyProtection="1">
      <alignment horizontal="center" vertical="center"/>
      <protection locked="0"/>
    </xf>
    <xf numFmtId="177" fontId="51" fillId="0" borderId="30" xfId="59" applyNumberFormat="1" applyFont="1" applyBorder="1" applyAlignment="1" applyProtection="1">
      <alignment horizontal="center" vertical="center"/>
      <protection locked="0"/>
    </xf>
    <xf numFmtId="174" fontId="52" fillId="0" borderId="30" xfId="59" applyNumberFormat="1" applyFont="1" applyBorder="1" applyAlignment="1" applyProtection="1">
      <alignment horizontal="center" vertical="center"/>
      <protection locked="0"/>
    </xf>
    <xf numFmtId="174" fontId="52" fillId="0" borderId="47" xfId="59" applyNumberFormat="1" applyFont="1" applyBorder="1" applyAlignment="1" applyProtection="1">
      <alignment horizontal="center" vertical="center"/>
      <protection locked="0"/>
    </xf>
    <xf numFmtId="0" fontId="84" fillId="0" borderId="28" xfId="0" applyFont="1" applyBorder="1" applyAlignment="1">
      <alignment horizontal="center" vertical="center" wrapText="1"/>
    </xf>
    <xf numFmtId="0" fontId="54" fillId="33" borderId="69" xfId="0" applyFont="1" applyFill="1" applyBorder="1" applyAlignment="1">
      <alignment horizontal="center" vertical="center" wrapText="1"/>
    </xf>
    <xf numFmtId="0" fontId="54" fillId="33" borderId="70" xfId="0" applyFont="1" applyFill="1" applyBorder="1" applyAlignment="1">
      <alignment horizontal="center" vertical="center" wrapText="1"/>
    </xf>
    <xf numFmtId="0" fontId="54" fillId="33" borderId="71" xfId="0" applyFont="1" applyFill="1" applyBorder="1" applyAlignment="1">
      <alignment horizontal="center" vertical="center"/>
    </xf>
    <xf numFmtId="0" fontId="54" fillId="33" borderId="71" xfId="0" applyFont="1" applyFill="1" applyBorder="1" applyAlignment="1">
      <alignment horizontal="center" vertical="center" wrapText="1"/>
    </xf>
    <xf numFmtId="0" fontId="54" fillId="33" borderId="72" xfId="0" applyFont="1" applyFill="1" applyBorder="1" applyAlignment="1">
      <alignment horizontal="center" vertical="center" wrapText="1"/>
    </xf>
    <xf numFmtId="0" fontId="54" fillId="0" borderId="44" xfId="0" applyFont="1" applyBorder="1" applyAlignment="1">
      <alignment vertical="center" wrapText="1"/>
    </xf>
    <xf numFmtId="0" fontId="84" fillId="0" borderId="73" xfId="0" applyFont="1" applyBorder="1" applyAlignment="1">
      <alignment/>
    </xf>
    <xf numFmtId="0" fontId="84" fillId="0" borderId="40" xfId="0" applyFont="1" applyFill="1" applyBorder="1" applyAlignment="1">
      <alignment/>
    </xf>
    <xf numFmtId="2" fontId="51" fillId="0" borderId="40" xfId="59" applyNumberFormat="1" applyFont="1" applyBorder="1" applyAlignment="1" applyProtection="1">
      <alignment horizontal="center" vertical="center"/>
      <protection locked="0"/>
    </xf>
    <xf numFmtId="0" fontId="1" fillId="4" borderId="74" xfId="63" applyFont="1" applyFill="1" applyBorder="1" applyAlignment="1">
      <alignment horizontal="center" vertical="center" wrapText="1"/>
      <protection/>
    </xf>
    <xf numFmtId="0" fontId="1" fillId="4" borderId="75" xfId="63" applyFont="1" applyFill="1" applyBorder="1" applyAlignment="1">
      <alignment horizontal="center" vertical="center" wrapText="1"/>
      <protection/>
    </xf>
    <xf numFmtId="49" fontId="1" fillId="4" borderId="76" xfId="63" applyNumberFormat="1" applyFont="1" applyFill="1" applyBorder="1" applyAlignment="1">
      <alignment horizontal="center" vertical="center" wrapText="1"/>
      <protection/>
    </xf>
    <xf numFmtId="49" fontId="1" fillId="4" borderId="77" xfId="63" applyNumberFormat="1" applyFont="1" applyFill="1" applyBorder="1" applyAlignment="1">
      <alignment horizontal="center" vertical="center" wrapText="1"/>
      <protection/>
    </xf>
    <xf numFmtId="0" fontId="3" fillId="2" borderId="16" xfId="61" applyFont="1" applyFill="1" applyBorder="1" applyAlignment="1">
      <alignment horizontal="center" vertical="center" wrapText="1"/>
      <protection/>
    </xf>
    <xf numFmtId="0" fontId="3" fillId="2" borderId="78" xfId="61" applyFont="1" applyFill="1" applyBorder="1" applyAlignment="1">
      <alignment horizontal="center" vertical="center" wrapText="1"/>
      <protection/>
    </xf>
    <xf numFmtId="0" fontId="3" fillId="2" borderId="79" xfId="61" applyFont="1" applyFill="1" applyBorder="1" applyAlignment="1">
      <alignment horizontal="center" vertical="center" wrapText="1"/>
      <protection/>
    </xf>
    <xf numFmtId="0" fontId="1" fillId="4" borderId="74" xfId="61" applyFont="1" applyFill="1" applyBorder="1" applyAlignment="1">
      <alignment horizontal="center" vertical="center" wrapText="1"/>
      <protection/>
    </xf>
    <xf numFmtId="0" fontId="1" fillId="4" borderId="75" xfId="61" applyFont="1" applyFill="1" applyBorder="1" applyAlignment="1">
      <alignment horizontal="center" vertical="center" wrapText="1"/>
      <protection/>
    </xf>
    <xf numFmtId="0" fontId="3" fillId="4" borderId="80" xfId="63" applyFont="1" applyFill="1" applyBorder="1" applyAlignment="1">
      <alignment horizontal="center" vertical="center" wrapText="1"/>
      <protection/>
    </xf>
    <xf numFmtId="0" fontId="3" fillId="4" borderId="79" xfId="63" applyFont="1" applyFill="1" applyBorder="1" applyAlignment="1">
      <alignment horizontal="center" vertical="center" wrapText="1"/>
      <protection/>
    </xf>
    <xf numFmtId="14" fontId="1" fillId="32" borderId="81" xfId="63" applyNumberFormat="1" applyFont="1" applyFill="1" applyBorder="1" applyAlignment="1">
      <alignment horizontal="center" vertical="center" wrapText="1"/>
      <protection/>
    </xf>
    <xf numFmtId="49" fontId="1" fillId="34" borderId="82" xfId="63" applyNumberFormat="1" applyFont="1" applyFill="1" applyBorder="1" applyAlignment="1" applyProtection="1">
      <alignment horizontal="center" vertical="center" wrapText="1"/>
      <protection locked="0"/>
    </xf>
    <xf numFmtId="49" fontId="1" fillId="34" borderId="83" xfId="63" applyNumberFormat="1" applyFont="1" applyFill="1" applyBorder="1" applyAlignment="1" applyProtection="1">
      <alignment horizontal="center" vertical="center" wrapText="1"/>
      <protection locked="0"/>
    </xf>
    <xf numFmtId="49" fontId="1" fillId="34" borderId="82" xfId="61" applyNumberFormat="1" applyFont="1" applyFill="1" applyBorder="1" applyAlignment="1" applyProtection="1">
      <alignment horizontal="center" vertical="center" wrapText="1"/>
      <protection locked="0"/>
    </xf>
    <xf numFmtId="49" fontId="1" fillId="34" borderId="83" xfId="61" applyNumberFormat="1" applyFont="1" applyFill="1" applyBorder="1" applyAlignment="1" applyProtection="1">
      <alignment horizontal="center" vertical="center" wrapText="1"/>
      <protection locked="0"/>
    </xf>
    <xf numFmtId="49" fontId="1" fillId="4" borderId="74" xfId="63" applyNumberFormat="1" applyFont="1" applyFill="1" applyBorder="1" applyAlignment="1">
      <alignment horizontal="center" vertical="center" wrapText="1"/>
      <protection/>
    </xf>
    <xf numFmtId="49" fontId="1" fillId="4" borderId="75" xfId="63" applyNumberFormat="1" applyFont="1" applyFill="1" applyBorder="1" applyAlignment="1">
      <alignment horizontal="center" vertical="center" wrapText="1"/>
      <protection/>
    </xf>
    <xf numFmtId="49" fontId="1" fillId="32" borderId="81" xfId="63" applyNumberFormat="1" applyFont="1" applyFill="1" applyBorder="1" applyAlignment="1">
      <alignment horizontal="center" vertical="center" wrapText="1"/>
      <protection/>
    </xf>
    <xf numFmtId="0" fontId="1" fillId="35" borderId="74" xfId="63" applyFont="1" applyFill="1" applyBorder="1" applyAlignment="1" applyProtection="1">
      <alignment horizontal="center" vertical="center" wrapText="1"/>
      <protection locked="0"/>
    </xf>
    <xf numFmtId="0" fontId="1" fillId="35" borderId="75" xfId="63" applyFont="1" applyFill="1" applyBorder="1" applyAlignment="1" applyProtection="1">
      <alignment horizontal="center" vertical="center" wrapText="1"/>
      <protection locked="0"/>
    </xf>
    <xf numFmtId="49" fontId="1" fillId="4" borderId="74" xfId="63" applyNumberFormat="1" applyFont="1" applyFill="1" applyBorder="1" applyAlignment="1" applyProtection="1">
      <alignment horizontal="center" vertical="center" wrapText="1"/>
      <protection locked="0"/>
    </xf>
    <xf numFmtId="49" fontId="1" fillId="4" borderId="75" xfId="63" applyNumberFormat="1" applyFont="1" applyFill="1" applyBorder="1" applyAlignment="1" applyProtection="1">
      <alignment horizontal="center" vertical="center" wrapText="1"/>
      <protection locked="0"/>
    </xf>
    <xf numFmtId="0" fontId="3" fillId="32" borderId="84" xfId="61" applyFont="1" applyFill="1" applyBorder="1" applyAlignment="1">
      <alignment horizontal="center" vertical="center" wrapText="1"/>
      <protection/>
    </xf>
    <xf numFmtId="0" fontId="3" fillId="32" borderId="85" xfId="61" applyFont="1" applyFill="1" applyBorder="1" applyAlignment="1">
      <alignment horizontal="center" vertical="center" wrapText="1"/>
      <protection/>
    </xf>
    <xf numFmtId="0" fontId="3" fillId="32" borderId="86" xfId="61" applyFont="1" applyFill="1" applyBorder="1" applyAlignment="1">
      <alignment horizontal="center" vertical="center" wrapText="1"/>
      <protection/>
    </xf>
    <xf numFmtId="49" fontId="4" fillId="34" borderId="87" xfId="42" applyNumberFormat="1" applyFill="1" applyBorder="1" applyAlignment="1">
      <alignment horizontal="center" vertical="center" wrapText="1"/>
    </xf>
    <xf numFmtId="49" fontId="1" fillId="34" borderId="88" xfId="63" applyNumberFormat="1" applyFont="1" applyFill="1" applyBorder="1" applyAlignment="1" applyProtection="1">
      <alignment horizontal="center" vertical="center" wrapText="1"/>
      <protection locked="0"/>
    </xf>
    <xf numFmtId="49" fontId="1" fillId="34" borderId="87" xfId="61" applyNumberFormat="1" applyFont="1" applyFill="1" applyBorder="1" applyAlignment="1" applyProtection="1">
      <alignment horizontal="center" vertical="center" wrapText="1"/>
      <protection locked="0"/>
    </xf>
    <xf numFmtId="49" fontId="1" fillId="34" borderId="88" xfId="61" applyNumberFormat="1" applyFont="1" applyFill="1" applyBorder="1" applyAlignment="1" applyProtection="1">
      <alignment horizontal="center" vertical="center" wrapText="1"/>
      <protection locked="0"/>
    </xf>
    <xf numFmtId="0" fontId="52" fillId="0" borderId="89" xfId="59" applyFont="1" applyBorder="1" applyAlignment="1">
      <alignment horizontal="center" vertical="center" wrapText="1"/>
      <protection/>
    </xf>
    <xf numFmtId="0" fontId="52" fillId="0" borderId="90" xfId="59" applyFont="1" applyBorder="1" applyAlignment="1">
      <alignment horizontal="center" vertical="center" wrapText="1"/>
      <protection/>
    </xf>
    <xf numFmtId="0" fontId="52" fillId="0" borderId="91" xfId="59" applyFont="1" applyBorder="1" applyAlignment="1">
      <alignment horizontal="center" vertical="center" wrapText="1"/>
      <protection/>
    </xf>
    <xf numFmtId="0" fontId="16" fillId="0" borderId="0" xfId="59" applyFont="1" applyAlignment="1">
      <alignment horizontal="left" vertical="center" wrapText="1"/>
      <protection/>
    </xf>
    <xf numFmtId="0" fontId="52" fillId="0" borderId="0" xfId="59" applyFont="1" applyAlignment="1">
      <alignment horizontal="left" vertical="center" wrapText="1"/>
      <protection/>
    </xf>
    <xf numFmtId="0" fontId="51" fillId="0" borderId="92" xfId="59" applyFont="1" applyBorder="1" applyAlignment="1" applyProtection="1">
      <alignment horizontal="center"/>
      <protection locked="0"/>
    </xf>
    <xf numFmtId="0" fontId="51" fillId="0" borderId="92" xfId="59" applyFont="1" applyBorder="1" applyAlignment="1" applyProtection="1">
      <alignment horizontal="right"/>
      <protection locked="0"/>
    </xf>
    <xf numFmtId="0" fontId="51" fillId="0" borderId="66" xfId="0" applyFont="1" applyBorder="1" applyAlignment="1">
      <alignment horizontal="center"/>
    </xf>
    <xf numFmtId="0" fontId="51" fillId="0" borderId="90" xfId="0" applyFont="1" applyBorder="1" applyAlignment="1">
      <alignment horizontal="center"/>
    </xf>
    <xf numFmtId="0" fontId="51" fillId="0" borderId="67" xfId="0" applyFont="1" applyBorder="1" applyAlignment="1">
      <alignment horizontal="center"/>
    </xf>
    <xf numFmtId="0" fontId="51" fillId="0" borderId="64" xfId="0" applyFont="1" applyBorder="1" applyAlignment="1">
      <alignment horizontal="left" vertical="center" wrapText="1"/>
    </xf>
    <xf numFmtId="0" fontId="51" fillId="0" borderId="68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center" vertical="top" wrapText="1"/>
    </xf>
    <xf numFmtId="0" fontId="51" fillId="0" borderId="93" xfId="0" applyFont="1" applyBorder="1" applyAlignment="1">
      <alignment horizontal="center" vertical="top" wrapText="1"/>
    </xf>
    <xf numFmtId="0" fontId="51" fillId="0" borderId="94" xfId="0" applyFont="1" applyBorder="1" applyAlignment="1">
      <alignment horizontal="center" vertical="top"/>
    </xf>
    <xf numFmtId="0" fontId="51" fillId="0" borderId="95" xfId="0" applyFont="1" applyBorder="1" applyAlignment="1">
      <alignment horizontal="center" vertical="top"/>
    </xf>
    <xf numFmtId="0" fontId="51" fillId="0" borderId="96" xfId="0" applyFont="1" applyBorder="1" applyAlignment="1">
      <alignment horizontal="center" vertical="top"/>
    </xf>
    <xf numFmtId="0" fontId="51" fillId="0" borderId="97" xfId="0" applyFont="1" applyBorder="1" applyAlignment="1">
      <alignment horizontal="center" vertical="top"/>
    </xf>
    <xf numFmtId="0" fontId="51" fillId="0" borderId="92" xfId="0" applyFont="1" applyBorder="1" applyAlignment="1">
      <alignment horizontal="center" vertical="top"/>
    </xf>
    <xf numFmtId="0" fontId="51" fillId="0" borderId="98" xfId="0" applyFont="1" applyBorder="1" applyAlignment="1">
      <alignment horizontal="center" vertical="top"/>
    </xf>
    <xf numFmtId="49" fontId="51" fillId="0" borderId="54" xfId="0" applyNumberFormat="1" applyFont="1" applyBorder="1" applyAlignment="1">
      <alignment horizontal="center" vertical="center"/>
    </xf>
    <xf numFmtId="49" fontId="51" fillId="0" borderId="99" xfId="0" applyNumberFormat="1" applyFont="1" applyBorder="1" applyAlignment="1">
      <alignment horizontal="center" vertical="center"/>
    </xf>
    <xf numFmtId="49" fontId="51" fillId="0" borderId="51" xfId="0" applyNumberFormat="1" applyFont="1" applyBorder="1" applyAlignment="1">
      <alignment horizontal="center" vertical="center"/>
    </xf>
    <xf numFmtId="0" fontId="51" fillId="0" borderId="100" xfId="0" applyFont="1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51" fillId="0" borderId="101" xfId="0" applyFont="1" applyBorder="1" applyAlignment="1">
      <alignment horizontal="center" vertical="top" wrapText="1"/>
    </xf>
    <xf numFmtId="0" fontId="51" fillId="0" borderId="102" xfId="0" applyFont="1" applyBorder="1" applyAlignment="1">
      <alignment horizontal="center" vertical="top" wrapText="1"/>
    </xf>
    <xf numFmtId="0" fontId="52" fillId="0" borderId="103" xfId="0" applyFont="1" applyBorder="1" applyAlignment="1">
      <alignment horizontal="center"/>
    </xf>
    <xf numFmtId="0" fontId="52" fillId="0" borderId="104" xfId="0" applyFont="1" applyBorder="1" applyAlignment="1">
      <alignment horizontal="center"/>
    </xf>
    <xf numFmtId="0" fontId="52" fillId="0" borderId="105" xfId="0" applyFont="1" applyBorder="1" applyAlignment="1">
      <alignment horizontal="center"/>
    </xf>
    <xf numFmtId="0" fontId="51" fillId="0" borderId="56" xfId="0" applyFont="1" applyBorder="1" applyAlignment="1">
      <alignment horizontal="center" vertical="center"/>
    </xf>
    <xf numFmtId="0" fontId="51" fillId="0" borderId="106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100" xfId="0" applyFont="1" applyBorder="1" applyAlignment="1">
      <alignment horizontal="left" vertical="center" wrapText="1"/>
    </xf>
    <xf numFmtId="0" fontId="51" fillId="0" borderId="90" xfId="0" applyFont="1" applyBorder="1" applyAlignment="1">
      <alignment horizontal="left" vertical="center" wrapText="1"/>
    </xf>
    <xf numFmtId="0" fontId="55" fillId="0" borderId="107" xfId="0" applyFont="1" applyBorder="1" applyAlignment="1">
      <alignment horizontal="center" vertical="center" wrapText="1"/>
    </xf>
    <xf numFmtId="0" fontId="54" fillId="0" borderId="108" xfId="0" applyFont="1" applyBorder="1" applyAlignment="1">
      <alignment/>
    </xf>
    <xf numFmtId="0" fontId="54" fillId="0" borderId="109" xfId="0" applyFont="1" applyBorder="1" applyAlignment="1">
      <alignment/>
    </xf>
    <xf numFmtId="0" fontId="55" fillId="0" borderId="70" xfId="0" applyFont="1" applyBorder="1" applyAlignment="1">
      <alignment horizontal="center" vertical="center"/>
    </xf>
    <xf numFmtId="0" fontId="54" fillId="0" borderId="110" xfId="0" applyFont="1" applyBorder="1" applyAlignment="1">
      <alignment/>
    </xf>
    <xf numFmtId="0" fontId="55" fillId="0" borderId="72" xfId="0" applyFont="1" applyBorder="1" applyAlignment="1">
      <alignment horizontal="center" vertical="center" wrapText="1"/>
    </xf>
    <xf numFmtId="0" fontId="54" fillId="0" borderId="111" xfId="0" applyFont="1" applyBorder="1" applyAlignment="1">
      <alignment/>
    </xf>
    <xf numFmtId="0" fontId="84" fillId="0" borderId="0" xfId="0" applyFont="1" applyAlignment="1">
      <alignment horizontal="center" wrapText="1"/>
    </xf>
    <xf numFmtId="0" fontId="52" fillId="0" borderId="0" xfId="59" applyFont="1" applyAlignment="1">
      <alignment horizontal="center" vertical="center" wrapText="1"/>
      <protection/>
    </xf>
    <xf numFmtId="0" fontId="29" fillId="0" borderId="59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6" fillId="0" borderId="0" xfId="57" applyFont="1" applyAlignment="1">
      <alignment horizontal="center"/>
      <protection/>
    </xf>
    <xf numFmtId="0" fontId="7" fillId="0" borderId="59" xfId="57" applyFont="1" applyBorder="1" applyAlignment="1">
      <alignment horizontal="center" vertical="center" wrapText="1"/>
      <protection/>
    </xf>
    <xf numFmtId="0" fontId="7" fillId="0" borderId="68" xfId="57" applyFont="1" applyBorder="1" applyAlignment="1">
      <alignment horizontal="center" vertical="center" wrapText="1"/>
      <protection/>
    </xf>
    <xf numFmtId="0" fontId="7" fillId="0" borderId="60" xfId="57" applyFont="1" applyBorder="1" applyAlignment="1">
      <alignment horizontal="center" vertical="center" wrapText="1"/>
      <protection/>
    </xf>
    <xf numFmtId="0" fontId="7" fillId="0" borderId="55" xfId="57" applyFont="1" applyBorder="1" applyAlignment="1">
      <alignment horizontal="center" vertical="center" wrapText="1"/>
      <protection/>
    </xf>
    <xf numFmtId="0" fontId="7" fillId="0" borderId="52" xfId="57" applyFont="1" applyBorder="1" applyAlignment="1">
      <alignment horizontal="center" vertical="center" wrapText="1"/>
      <protection/>
    </xf>
    <xf numFmtId="0" fontId="7" fillId="0" borderId="59" xfId="57" applyFont="1" applyBorder="1" applyAlignment="1">
      <alignment horizontal="center" wrapText="1"/>
      <protection/>
    </xf>
    <xf numFmtId="0" fontId="7" fillId="0" borderId="68" xfId="57" applyFont="1" applyBorder="1" applyAlignment="1">
      <alignment horizontal="center" wrapText="1"/>
      <protection/>
    </xf>
    <xf numFmtId="0" fontId="7" fillId="0" borderId="60" xfId="57" applyFont="1" applyBorder="1" applyAlignment="1">
      <alignment horizontal="center" wrapText="1"/>
      <protection/>
    </xf>
    <xf numFmtId="0" fontId="30" fillId="0" borderId="59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1" fontId="82" fillId="0" borderId="59" xfId="57" applyNumberFormat="1" applyFont="1" applyBorder="1" applyAlignment="1">
      <alignment horizontal="center" vertical="center" wrapText="1"/>
      <protection/>
    </xf>
    <xf numFmtId="1" fontId="82" fillId="0" borderId="68" xfId="57" applyNumberFormat="1" applyFont="1" applyBorder="1" applyAlignment="1">
      <alignment horizontal="center" vertical="center" wrapText="1"/>
      <protection/>
    </xf>
    <xf numFmtId="1" fontId="82" fillId="0" borderId="60" xfId="57" applyNumberFormat="1" applyFont="1" applyBorder="1" applyAlignment="1">
      <alignment horizontal="center" vertical="center" wrapText="1"/>
      <protection/>
    </xf>
    <xf numFmtId="177" fontId="82" fillId="0" borderId="55" xfId="57" applyNumberFormat="1" applyFont="1" applyBorder="1" applyAlignment="1">
      <alignment horizontal="left" vertical="center" wrapText="1"/>
      <protection/>
    </xf>
    <xf numFmtId="177" fontId="82" fillId="0" borderId="52" xfId="57" applyNumberFormat="1" applyFont="1" applyBorder="1" applyAlignment="1">
      <alignment horizontal="left" vertical="center" wrapText="1"/>
      <protection/>
    </xf>
    <xf numFmtId="177" fontId="82" fillId="0" borderId="59" xfId="57" applyNumberFormat="1" applyFont="1" applyBorder="1" applyAlignment="1">
      <alignment horizontal="center" vertical="center" wrapText="1"/>
      <protection/>
    </xf>
    <xf numFmtId="177" fontId="82" fillId="0" borderId="68" xfId="57" applyNumberFormat="1" applyFont="1" applyBorder="1" applyAlignment="1">
      <alignment horizontal="center" vertical="center" wrapText="1"/>
      <protection/>
    </xf>
    <xf numFmtId="0" fontId="64" fillId="0" borderId="68" xfId="57" applyBorder="1" applyAlignment="1">
      <alignment horizontal="center" vertical="center" wrapText="1"/>
      <protection/>
    </xf>
    <xf numFmtId="0" fontId="64" fillId="0" borderId="60" xfId="57" applyBorder="1" applyAlignment="1">
      <alignment horizontal="center" vertical="center" wrapText="1"/>
      <protection/>
    </xf>
    <xf numFmtId="177" fontId="85" fillId="0" borderId="0" xfId="57" applyNumberFormat="1" applyFont="1" applyAlignment="1">
      <alignment horizontal="center" vertical="center" wrapText="1"/>
      <protection/>
    </xf>
    <xf numFmtId="177" fontId="85" fillId="0" borderId="64" xfId="57" applyNumberFormat="1" applyFont="1" applyBorder="1" applyAlignment="1">
      <alignment horizontal="center" vertical="center" wrapText="1"/>
      <protection/>
    </xf>
    <xf numFmtId="177" fontId="82" fillId="0" borderId="55" xfId="57" applyNumberFormat="1" applyFont="1" applyBorder="1" applyAlignment="1">
      <alignment horizontal="center" vertical="center" wrapText="1"/>
      <protection/>
    </xf>
    <xf numFmtId="177" fontId="82" fillId="0" borderId="112" xfId="57" applyNumberFormat="1" applyFont="1" applyBorder="1" applyAlignment="1">
      <alignment horizontal="center" vertical="center" wrapText="1"/>
      <protection/>
    </xf>
    <xf numFmtId="177" fontId="82" fillId="0" borderId="52" xfId="57" applyNumberFormat="1" applyFont="1" applyBorder="1" applyAlignment="1">
      <alignment horizontal="center" vertical="center" wrapText="1"/>
      <protection/>
    </xf>
    <xf numFmtId="177" fontId="82" fillId="0" borderId="28" xfId="57" applyNumberFormat="1" applyFont="1" applyBorder="1" applyAlignment="1">
      <alignment horizontal="center" vertical="center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8" xfId="56"/>
    <cellStyle name="Обычный 21" xfId="57"/>
    <cellStyle name="Обычный 4 2" xfId="58"/>
    <cellStyle name="Обычный_FORM3.1" xfId="59"/>
    <cellStyle name="Обычный_PRIL1.ELECTR" xfId="60"/>
    <cellStyle name="Обычный_ЖКУ_проект3" xfId="61"/>
    <cellStyle name="Обычный_таблицы П1.3 П1.4" xfId="62"/>
    <cellStyle name="Обычный_форма 1 водопровод для орг_CALC.KV.4.78(v1.0)" xfId="63"/>
    <cellStyle name="Обычный_Форма 4 Станция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6;&#1088;&#1084;&#1072;%203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02D~1\LOCALS~1\Temp\Rar$DI96.890\FORM3.1.2012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na\&#1052;&#1086;&#1080;%20&#1076;&#1086;&#1082;&#1091;&#1084;&#1077;&#1085;&#1090;&#1099;\2013\&#1041;&#1072;&#1083;&#1072;&#1085;&#1089;&#1099;%202013\&#1082;&#1086;&#1088;&#1088;&#1077;&#1082;&#1090;&#1080;&#1088;&#1086;&#1074;&#1082;&#1072;%20&#1073;&#1072;&#1083;&#1072;&#1085;&#1089;&#1072;%202013\&#1089;&#1077;&#1090;&#1077;&#1074;&#1080;&#1082;&#1080;\&#1089;&#1080;&#1073;&#1089;&#1077;&#1083;&#1100;&#1084;&#1072;&#1096;\FORM3.1.2013(v1.1)_to_(v2.0)%20&#1057;&#1080;&#1073;&#1089;&#1077;&#1083;&#1100;&#1084;&#1072;&#1096;%20&#1082;&#1086;&#1088;&#1088;&#1077;&#1082;&#1090;&#1080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3.1"/>
      <sheetName val="Субабоненты"/>
      <sheetName val="Примечания"/>
      <sheetName val="Лист1"/>
    </sheetNames>
    <sheetDataSet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4">
        <row r="7">
          <cell r="B7" t="str">
            <v>Новосибирская область</v>
          </cell>
        </row>
        <row r="8">
          <cell r="B8" t="str">
            <v>Энергосбыт СП ЗСЖД</v>
          </cell>
        </row>
        <row r="9">
          <cell r="B9" t="str">
            <v>7708503727</v>
          </cell>
          <cell r="F9" t="str">
            <v>997650001</v>
          </cell>
        </row>
        <row r="12">
          <cell r="B12" t="str">
            <v>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10">
        <row r="2">
          <cell r="D2" t="str">
            <v>Баганский муниципальный район</v>
          </cell>
        </row>
        <row r="3">
          <cell r="D3" t="str">
            <v>Барабинский муниципальный район</v>
          </cell>
        </row>
        <row r="4">
          <cell r="D4" t="str">
            <v>Болотнинский муниципальный район</v>
          </cell>
        </row>
        <row r="5">
          <cell r="D5" t="str">
            <v>Венгеровский муниципальный район</v>
          </cell>
        </row>
        <row r="6">
          <cell r="D6" t="str">
            <v>Город Бердск</v>
          </cell>
        </row>
        <row r="7">
          <cell r="D7" t="str">
            <v>Город Искитим</v>
          </cell>
        </row>
        <row r="8">
          <cell r="D8" t="str">
            <v>Город Новосибирск</v>
          </cell>
        </row>
        <row r="9">
          <cell r="D9" t="str">
            <v>Город Обь</v>
          </cell>
        </row>
        <row r="10">
          <cell r="D10" t="str">
            <v>Город Тогучин</v>
          </cell>
        </row>
        <row r="11">
          <cell r="D11" t="str">
            <v>Доволенский муниципальный район</v>
          </cell>
        </row>
        <row r="12">
          <cell r="D12" t="str">
            <v>Здвинский муниципальный район</v>
          </cell>
        </row>
        <row r="13">
          <cell r="D13" t="str">
            <v>Искитимский муниципальный район</v>
          </cell>
        </row>
        <row r="14">
          <cell r="D14" t="str">
            <v>Карасукский муниципальный район</v>
          </cell>
        </row>
        <row r="15">
          <cell r="D15" t="str">
            <v>Каргатский муниципальный район</v>
          </cell>
        </row>
        <row r="16">
          <cell r="D16" t="str">
            <v>Колыванский муниципальный район</v>
          </cell>
        </row>
        <row r="17">
          <cell r="D17" t="str">
            <v>Коченевский муниципальный район</v>
          </cell>
        </row>
        <row r="18">
          <cell r="D18" t="str">
            <v>Кочковский муниципальный район</v>
          </cell>
        </row>
        <row r="19">
          <cell r="D19" t="str">
            <v>Краснозерский муниципальный район</v>
          </cell>
        </row>
        <row r="20">
          <cell r="D20" t="str">
            <v>Куйбышевский муниципальный район</v>
          </cell>
        </row>
        <row r="21">
          <cell r="D21" t="str">
            <v>Купинский муниципальный район</v>
          </cell>
        </row>
        <row r="22">
          <cell r="D22" t="str">
            <v>Кыштовский муниципальный район</v>
          </cell>
        </row>
        <row r="23">
          <cell r="D23" t="str">
            <v>Маслянинский муниципальный район</v>
          </cell>
        </row>
        <row r="24">
          <cell r="D24" t="str">
            <v>Мошковский муниципальный район</v>
          </cell>
        </row>
        <row r="25">
          <cell r="D25" t="str">
            <v>Новосибирский муниципальный район</v>
          </cell>
        </row>
        <row r="26">
          <cell r="D26" t="str">
            <v>Ордынский муниципальный район</v>
          </cell>
        </row>
        <row r="27">
          <cell r="D27" t="str">
            <v>Посёлок Кольцово</v>
          </cell>
        </row>
        <row r="28">
          <cell r="D28" t="str">
            <v>Северный муниципальный район</v>
          </cell>
        </row>
        <row r="29">
          <cell r="D29" t="str">
            <v>Сузунский муниципальный район</v>
          </cell>
        </row>
        <row r="30">
          <cell r="D30" t="str">
            <v>Татарский муниципальный район</v>
          </cell>
        </row>
        <row r="31">
          <cell r="D31" t="str">
            <v>Тогучинский муниципальный район</v>
          </cell>
        </row>
        <row r="32">
          <cell r="D32" t="str">
            <v>Убинский муниципальный район</v>
          </cell>
        </row>
        <row r="33">
          <cell r="D33" t="str">
            <v>Усть-Таркский муниципальный район</v>
          </cell>
        </row>
        <row r="34">
          <cell r="D34" t="str">
            <v>Чановский муниципальный район</v>
          </cell>
        </row>
        <row r="35">
          <cell r="D35" t="str">
            <v>Черепановский муниципальный район</v>
          </cell>
        </row>
        <row r="36">
          <cell r="D36" t="str">
            <v>Чистоозерный муниципальный район</v>
          </cell>
        </row>
        <row r="37">
          <cell r="D37" t="str">
            <v>Чулымский муниципальный район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Change"/>
    </sheetNames>
    <sheetDataSet>
      <sheetData sheetId="13">
        <row r="1">
          <cell r="J1" t="str">
            <v>2008</v>
          </cell>
        </row>
        <row r="2">
          <cell r="J2" t="str">
            <v>2009</v>
          </cell>
        </row>
        <row r="3">
          <cell r="J3" t="str">
            <v>2010</v>
          </cell>
        </row>
        <row r="4">
          <cell r="J4" t="str">
            <v>2011</v>
          </cell>
        </row>
        <row r="5">
          <cell r="J5" t="str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o-tso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C2">
      <selection activeCell="F10" sqref="F10:G10"/>
    </sheetView>
  </sheetViews>
  <sheetFormatPr defaultColWidth="9.00390625" defaultRowHeight="12.75"/>
  <cols>
    <col min="1" max="1" width="44.875" style="22" hidden="1" customWidth="1"/>
    <col min="2" max="2" width="28.25390625" style="23" hidden="1" customWidth="1"/>
    <col min="3" max="3" width="6.25390625" style="25" customWidth="1"/>
    <col min="4" max="4" width="5.625" style="26" customWidth="1"/>
    <col min="5" max="5" width="33.125" style="26" customWidth="1"/>
    <col min="6" max="6" width="21.625" style="26" customWidth="1"/>
    <col min="7" max="7" width="19.25390625" style="66" customWidth="1"/>
    <col min="8" max="8" width="10.875" style="66" customWidth="1"/>
    <col min="9" max="9" width="20.625" style="26" customWidth="1"/>
    <col min="10" max="16384" width="9.125" style="26" customWidth="1"/>
  </cols>
  <sheetData>
    <row r="1" spans="1:8" s="22" customFormat="1" ht="13.5" customHeight="1" hidden="1">
      <c r="A1" s="22" t="str">
        <f>region_name</f>
        <v>Новосибирская область</v>
      </c>
      <c r="B1" s="23">
        <f>IF(god="","Не определено",god)</f>
        <v>2023</v>
      </c>
      <c r="C1" s="22" t="str">
        <f>org&amp;"_INN:"&amp;inn&amp;"_KPP:"&amp;kpp</f>
        <v>ООО "ЭСО"_INN:5406982149_KPP:540401001</v>
      </c>
      <c r="G1" s="24"/>
      <c r="H1" s="24"/>
    </row>
    <row r="2" spans="2:8" s="22" customFormat="1" ht="13.5" customHeight="1">
      <c r="B2" s="23"/>
      <c r="G2" s="24"/>
      <c r="H2" s="24"/>
    </row>
    <row r="3" spans="1:8" ht="14.25" customHeight="1">
      <c r="A3" s="22" t="str">
        <f>IF(org="","Не определено",org)</f>
        <v>ООО "ЭСО"</v>
      </c>
      <c r="B3" s="23" t="str">
        <f>IF(inn="","Не определено",inn)</f>
        <v>5406982149</v>
      </c>
      <c r="G3" s="27"/>
      <c r="H3" s="27" t="s">
        <v>118</v>
      </c>
    </row>
    <row r="4" spans="4:9" ht="9" customHeight="1">
      <c r="D4" s="28"/>
      <c r="F4" s="1"/>
      <c r="G4" s="29"/>
      <c r="H4" s="29"/>
      <c r="I4" s="30"/>
    </row>
    <row r="5" spans="2:9" ht="25.5" customHeight="1" thickBot="1">
      <c r="B5" s="23" t="str">
        <f>IF(kpp="","Не определено",kpp)</f>
        <v>540401001</v>
      </c>
      <c r="D5" s="312" t="s">
        <v>91</v>
      </c>
      <c r="E5" s="313"/>
      <c r="F5" s="313"/>
      <c r="G5" s="313"/>
      <c r="H5" s="314"/>
      <c r="I5" s="31"/>
    </row>
    <row r="6" spans="4:9" ht="21.75" customHeight="1">
      <c r="D6" s="1"/>
      <c r="E6" s="1"/>
      <c r="F6" s="1"/>
      <c r="G6" s="32"/>
      <c r="H6" s="29"/>
      <c r="I6" s="31"/>
    </row>
    <row r="7" spans="4:9" ht="12.75">
      <c r="D7" s="33"/>
      <c r="E7" s="34"/>
      <c r="F7" s="34"/>
      <c r="G7" s="35"/>
      <c r="H7" s="36"/>
      <c r="I7" s="31"/>
    </row>
    <row r="8" spans="4:10" ht="21" customHeight="1" thickBot="1">
      <c r="D8" s="37"/>
      <c r="E8" s="38" t="s">
        <v>92</v>
      </c>
      <c r="F8" s="315" t="s">
        <v>1</v>
      </c>
      <c r="G8" s="316"/>
      <c r="H8" s="39"/>
      <c r="I8" s="31"/>
      <c r="J8" s="31"/>
    </row>
    <row r="9" spans="1:10" ht="12.75" customHeight="1">
      <c r="A9" s="40"/>
      <c r="D9" s="41"/>
      <c r="E9" s="42"/>
      <c r="F9" s="43"/>
      <c r="G9" s="4"/>
      <c r="H9" s="44"/>
      <c r="I9" s="45"/>
      <c r="J9" s="45"/>
    </row>
    <row r="10" spans="4:10" ht="21" customHeight="1" thickBot="1">
      <c r="D10" s="41"/>
      <c r="E10" s="46" t="s">
        <v>5</v>
      </c>
      <c r="F10" s="317">
        <v>2023</v>
      </c>
      <c r="G10" s="318"/>
      <c r="H10" s="47"/>
      <c r="I10" s="45"/>
      <c r="J10" s="48"/>
    </row>
    <row r="11" spans="4:8" ht="12.75">
      <c r="D11" s="41"/>
      <c r="E11" s="49"/>
      <c r="F11" s="1"/>
      <c r="G11" s="2"/>
      <c r="H11" s="50"/>
    </row>
    <row r="12" spans="4:8" ht="32.25" customHeight="1">
      <c r="D12" s="41"/>
      <c r="E12" s="49"/>
      <c r="F12" s="319" t="s">
        <v>119</v>
      </c>
      <c r="G12" s="319"/>
      <c r="H12" s="50"/>
    </row>
    <row r="13" spans="3:8" ht="21" customHeight="1" thickBot="1">
      <c r="C13" s="51"/>
      <c r="D13" s="41"/>
      <c r="E13" s="52" t="s">
        <v>90</v>
      </c>
      <c r="F13" s="308" t="s">
        <v>230</v>
      </c>
      <c r="G13" s="309"/>
      <c r="H13" s="50"/>
    </row>
    <row r="14" spans="3:8" ht="12.75">
      <c r="C14" s="51"/>
      <c r="D14" s="41"/>
      <c r="E14" s="53"/>
      <c r="F14" s="1"/>
      <c r="G14" s="2"/>
      <c r="H14" s="50"/>
    </row>
    <row r="15" spans="4:8" ht="21" customHeight="1">
      <c r="D15" s="41"/>
      <c r="E15" s="54" t="s">
        <v>2</v>
      </c>
      <c r="F15" s="310" t="s">
        <v>231</v>
      </c>
      <c r="G15" s="311"/>
      <c r="H15" s="44"/>
    </row>
    <row r="16" spans="4:8" ht="21" customHeight="1" thickBot="1">
      <c r="D16" s="41"/>
      <c r="E16" s="52" t="s">
        <v>3</v>
      </c>
      <c r="F16" s="324" t="s">
        <v>305</v>
      </c>
      <c r="G16" s="325"/>
      <c r="H16" s="44"/>
    </row>
    <row r="17" spans="4:8" ht="10.5" customHeight="1">
      <c r="D17" s="41"/>
      <c r="E17" s="53"/>
      <c r="F17" s="3"/>
      <c r="G17" s="4"/>
      <c r="H17" s="44"/>
    </row>
    <row r="18" spans="4:8" ht="31.5" customHeight="1">
      <c r="D18" s="41"/>
      <c r="E18" s="53"/>
      <c r="F18" s="326" t="s">
        <v>120</v>
      </c>
      <c r="G18" s="326"/>
      <c r="H18" s="44"/>
    </row>
    <row r="19" spans="4:8" ht="21" customHeight="1" thickBot="1">
      <c r="D19" s="41"/>
      <c r="E19" s="52" t="s">
        <v>93</v>
      </c>
      <c r="F19" s="327" t="s">
        <v>1</v>
      </c>
      <c r="G19" s="328"/>
      <c r="H19" s="44"/>
    </row>
    <row r="20" spans="4:8" ht="3" customHeight="1">
      <c r="D20" s="41"/>
      <c r="E20" s="53"/>
      <c r="F20" s="3"/>
      <c r="G20" s="4"/>
      <c r="H20" s="44"/>
    </row>
    <row r="21" spans="4:8" ht="21" customHeight="1" thickBot="1">
      <c r="D21" s="41"/>
      <c r="E21" s="52" t="s">
        <v>94</v>
      </c>
      <c r="F21" s="327" t="s">
        <v>228</v>
      </c>
      <c r="G21" s="328"/>
      <c r="H21" s="44"/>
    </row>
    <row r="22" spans="4:8" ht="3" customHeight="1">
      <c r="D22" s="41"/>
      <c r="E22" s="53"/>
      <c r="F22" s="3"/>
      <c r="G22" s="4"/>
      <c r="H22" s="44"/>
    </row>
    <row r="23" spans="4:8" ht="21" customHeight="1" thickBot="1">
      <c r="D23" s="41"/>
      <c r="E23" s="52" t="s">
        <v>95</v>
      </c>
      <c r="F23" s="329" t="s">
        <v>240</v>
      </c>
      <c r="G23" s="330"/>
      <c r="H23" s="44"/>
    </row>
    <row r="24" spans="4:8" ht="10.5" customHeight="1">
      <c r="D24" s="41"/>
      <c r="E24" s="53"/>
      <c r="F24" s="3"/>
      <c r="G24" s="4"/>
      <c r="H24" s="44"/>
    </row>
    <row r="25" spans="4:8" ht="18" customHeight="1">
      <c r="D25" s="41"/>
      <c r="E25" s="331" t="s">
        <v>96</v>
      </c>
      <c r="F25" s="332"/>
      <c r="G25" s="333"/>
      <c r="H25" s="44"/>
    </row>
    <row r="26" spans="1:9" ht="27.75" customHeight="1">
      <c r="A26" s="22" t="s">
        <v>66</v>
      </c>
      <c r="B26" s="23" t="s">
        <v>97</v>
      </c>
      <c r="D26" s="37"/>
      <c r="E26" s="55" t="s">
        <v>98</v>
      </c>
      <c r="F26" s="322" t="s">
        <v>306</v>
      </c>
      <c r="G26" s="323"/>
      <c r="H26" s="44"/>
      <c r="I26" s="31"/>
    </row>
    <row r="27" spans="1:9" ht="31.5" customHeight="1" thickBot="1">
      <c r="A27" s="22" t="s">
        <v>68</v>
      </c>
      <c r="B27" s="23" t="s">
        <v>99</v>
      </c>
      <c r="D27" s="37"/>
      <c r="E27" s="56" t="s">
        <v>4</v>
      </c>
      <c r="F27" s="322" t="s">
        <v>307</v>
      </c>
      <c r="G27" s="323"/>
      <c r="H27" s="44"/>
      <c r="I27" s="31"/>
    </row>
    <row r="28" spans="4:8" ht="12.75">
      <c r="D28" s="41"/>
      <c r="E28" s="49"/>
      <c r="F28" s="1"/>
      <c r="G28" s="2"/>
      <c r="H28" s="44"/>
    </row>
    <row r="29" spans="4:9" ht="18" customHeight="1">
      <c r="D29" s="37"/>
      <c r="E29" s="331" t="s">
        <v>100</v>
      </c>
      <c r="F29" s="332"/>
      <c r="G29" s="333"/>
      <c r="H29" s="44"/>
      <c r="I29" s="31"/>
    </row>
    <row r="30" spans="1:9" ht="21" customHeight="1">
      <c r="A30" s="22" t="s">
        <v>74</v>
      </c>
      <c r="B30" s="23" t="s">
        <v>101</v>
      </c>
      <c r="D30" s="37"/>
      <c r="E30" s="55" t="s">
        <v>102</v>
      </c>
      <c r="F30" s="322" t="s">
        <v>232</v>
      </c>
      <c r="G30" s="323"/>
      <c r="H30" s="44"/>
      <c r="I30" s="31"/>
    </row>
    <row r="31" spans="1:9" ht="21" customHeight="1" thickBot="1">
      <c r="A31" s="22" t="s">
        <v>76</v>
      </c>
      <c r="B31" s="23" t="s">
        <v>103</v>
      </c>
      <c r="D31" s="37"/>
      <c r="E31" s="56" t="s">
        <v>104</v>
      </c>
      <c r="F31" s="336" t="s">
        <v>233</v>
      </c>
      <c r="G31" s="337"/>
      <c r="H31" s="44"/>
      <c r="I31" s="31"/>
    </row>
    <row r="32" spans="4:8" ht="12.75">
      <c r="D32" s="41"/>
      <c r="E32" s="49"/>
      <c r="F32" s="1"/>
      <c r="G32" s="2"/>
      <c r="H32" s="44"/>
    </row>
    <row r="33" spans="4:9" ht="18" customHeight="1">
      <c r="D33" s="37"/>
      <c r="E33" s="331" t="s">
        <v>105</v>
      </c>
      <c r="F33" s="332"/>
      <c r="G33" s="333"/>
      <c r="H33" s="44"/>
      <c r="I33" s="31"/>
    </row>
    <row r="34" spans="1:9" ht="21" customHeight="1">
      <c r="A34" s="22" t="s">
        <v>84</v>
      </c>
      <c r="B34" s="23" t="s">
        <v>106</v>
      </c>
      <c r="D34" s="37"/>
      <c r="E34" s="55" t="s">
        <v>102</v>
      </c>
      <c r="F34" s="322" t="s">
        <v>234</v>
      </c>
      <c r="G34" s="323"/>
      <c r="H34" s="44"/>
      <c r="I34" s="31"/>
    </row>
    <row r="35" spans="1:9" ht="21" customHeight="1" thickBot="1">
      <c r="A35" s="22" t="s">
        <v>86</v>
      </c>
      <c r="B35" s="23" t="s">
        <v>107</v>
      </c>
      <c r="D35" s="37"/>
      <c r="E35" s="56" t="s">
        <v>104</v>
      </c>
      <c r="F35" s="336" t="s">
        <v>235</v>
      </c>
      <c r="G35" s="337"/>
      <c r="H35" s="44"/>
      <c r="I35" s="31"/>
    </row>
    <row r="36" spans="4:8" ht="12.75">
      <c r="D36" s="41"/>
      <c r="E36" s="49"/>
      <c r="F36" s="1"/>
      <c r="G36" s="2"/>
      <c r="H36" s="44"/>
    </row>
    <row r="37" spans="4:9" ht="18" customHeight="1">
      <c r="D37" s="37"/>
      <c r="E37" s="331" t="s">
        <v>108</v>
      </c>
      <c r="F37" s="332"/>
      <c r="G37" s="333"/>
      <c r="H37" s="44"/>
      <c r="I37" s="31"/>
    </row>
    <row r="38" spans="1:9" ht="21" customHeight="1">
      <c r="A38" s="22" t="s">
        <v>109</v>
      </c>
      <c r="B38" s="57" t="s">
        <v>110</v>
      </c>
      <c r="D38" s="58"/>
      <c r="E38" s="59" t="s">
        <v>102</v>
      </c>
      <c r="F38" s="320" t="s">
        <v>236</v>
      </c>
      <c r="G38" s="321"/>
      <c r="H38" s="44"/>
      <c r="I38" s="60"/>
    </row>
    <row r="39" spans="1:9" ht="21" customHeight="1">
      <c r="A39" s="22" t="s">
        <v>111</v>
      </c>
      <c r="B39" s="57" t="s">
        <v>112</v>
      </c>
      <c r="D39" s="58"/>
      <c r="E39" s="59" t="s">
        <v>6</v>
      </c>
      <c r="F39" s="320" t="s">
        <v>237</v>
      </c>
      <c r="G39" s="321"/>
      <c r="H39" s="44"/>
      <c r="I39" s="60"/>
    </row>
    <row r="40" spans="1:9" ht="21" customHeight="1">
      <c r="A40" s="22" t="s">
        <v>113</v>
      </c>
      <c r="B40" s="57" t="s">
        <v>114</v>
      </c>
      <c r="D40" s="58"/>
      <c r="E40" s="59" t="s">
        <v>104</v>
      </c>
      <c r="F40" s="320" t="s">
        <v>238</v>
      </c>
      <c r="G40" s="321"/>
      <c r="H40" s="44"/>
      <c r="I40" s="60"/>
    </row>
    <row r="41" spans="1:9" ht="21" customHeight="1" thickBot="1">
      <c r="A41" s="22" t="s">
        <v>115</v>
      </c>
      <c r="B41" s="57" t="s">
        <v>116</v>
      </c>
      <c r="D41" s="58"/>
      <c r="E41" s="61" t="s">
        <v>117</v>
      </c>
      <c r="F41" s="334" t="s">
        <v>239</v>
      </c>
      <c r="G41" s="335"/>
      <c r="H41" s="44"/>
      <c r="I41" s="60"/>
    </row>
    <row r="42" spans="4:9" ht="13.5" thickBot="1">
      <c r="D42" s="62"/>
      <c r="E42" s="63"/>
      <c r="F42" s="63"/>
      <c r="G42" s="64"/>
      <c r="H42" s="65"/>
      <c r="I42" s="31"/>
    </row>
  </sheetData>
  <sheetProtection/>
  <mergeCells count="25">
    <mergeCell ref="F40:G40"/>
    <mergeCell ref="F41:G41"/>
    <mergeCell ref="E29:G29"/>
    <mergeCell ref="F30:G30"/>
    <mergeCell ref="F31:G31"/>
    <mergeCell ref="E33:G33"/>
    <mergeCell ref="F34:G34"/>
    <mergeCell ref="F35:G35"/>
    <mergeCell ref="E37:G37"/>
    <mergeCell ref="F38:G38"/>
    <mergeCell ref="F39:G39"/>
    <mergeCell ref="F26:G26"/>
    <mergeCell ref="F27:G27"/>
    <mergeCell ref="F16:G16"/>
    <mergeCell ref="F18:G18"/>
    <mergeCell ref="F19:G19"/>
    <mergeCell ref="F21:G21"/>
    <mergeCell ref="F23:G23"/>
    <mergeCell ref="E25:G25"/>
    <mergeCell ref="F13:G13"/>
    <mergeCell ref="F15:G15"/>
    <mergeCell ref="D5:H5"/>
    <mergeCell ref="F8:G8"/>
    <mergeCell ref="F10:G10"/>
    <mergeCell ref="F12:G12"/>
  </mergeCells>
  <dataValidations count="5">
    <dataValidation operator="equal" allowBlank="1" showInputMessage="1" showErrorMessage="1" sqref="F18:G18"/>
    <dataValidation type="textLength" allowBlank="1" showInputMessage="1" showErrorMessage="1" prompt="10-12 символов" sqref="F15">
      <formula1>10</formula1>
      <formula2>12</formula2>
    </dataValidation>
    <dataValidation type="textLength" operator="equal" allowBlank="1" showInputMessage="1" showErrorMessage="1" prompt="9 символов" sqref="F16">
      <formula1>9</formula1>
    </dataValidation>
    <dataValidation type="textLength" operator="equal" allowBlank="1" showInputMessage="1" showErrorMessage="1" sqref="F20 F17 F22 F24">
      <formula1>9</formula1>
    </dataValidation>
    <dataValidation type="textLength" operator="equal" allowBlank="1" showInputMessage="1" showErrorMessage="1" sqref="F23:G23">
      <formula1>11</formula1>
    </dataValidation>
  </dataValidations>
  <hyperlinks>
    <hyperlink ref="F41" r:id="rId1" display="eso-tso@yandex.ru"/>
  </hyperlinks>
  <printOptions/>
  <pageMargins left="0.5905511811023623" right="0.5511811023622047" top="0.29" bottom="0.36" header="0.17" footer="0.25"/>
  <pageSetup fitToHeight="1" fitToWidth="1"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zoomScale="75" zoomScaleNormal="75" zoomScalePageLayoutView="0" workbookViewId="0" topLeftCell="C24">
      <selection activeCell="W14" sqref="W14"/>
    </sheetView>
  </sheetViews>
  <sheetFormatPr defaultColWidth="14.125" defaultRowHeight="12.75"/>
  <cols>
    <col min="1" max="1" width="14.125" style="90" hidden="1" customWidth="1"/>
    <col min="2" max="2" width="0.2421875" style="14" hidden="1" customWidth="1"/>
    <col min="3" max="3" width="0.12890625" style="77" customWidth="1"/>
    <col min="4" max="4" width="6.375" style="78" customWidth="1"/>
    <col min="5" max="5" width="31.75390625" style="79" customWidth="1"/>
    <col min="6" max="6" width="10.125" style="79" customWidth="1"/>
    <col min="7" max="8" width="10.75390625" style="79" customWidth="1"/>
    <col min="9" max="9" width="10.875" style="79" customWidth="1"/>
    <col min="10" max="10" width="10.00390625" style="79" customWidth="1"/>
    <col min="11" max="11" width="11.875" style="79" customWidth="1"/>
    <col min="12" max="12" width="10.00390625" style="79" customWidth="1"/>
    <col min="13" max="13" width="10.125" style="79" customWidth="1"/>
    <col min="14" max="14" width="10.25390625" style="79" customWidth="1"/>
    <col min="15" max="15" width="9.75390625" style="79" customWidth="1"/>
    <col min="16" max="16" width="11.625" style="79" customWidth="1"/>
    <col min="17" max="17" width="9.625" style="79" customWidth="1"/>
    <col min="18" max="18" width="12.00390625" style="79" customWidth="1"/>
    <col min="19" max="19" width="11.375" style="79" customWidth="1"/>
    <col min="20" max="20" width="10.625" style="79" customWidth="1"/>
    <col min="21" max="21" width="12.00390625" style="79" customWidth="1"/>
    <col min="22" max="22" width="20.625" style="79" customWidth="1"/>
    <col min="23" max="23" width="12.375" style="79" customWidth="1"/>
    <col min="24" max="24" width="11.375" style="87" customWidth="1"/>
    <col min="25" max="25" width="13.00390625" style="87" customWidth="1"/>
    <col min="26" max="26" width="12.875" style="87" customWidth="1"/>
    <col min="27" max="27" width="12.25390625" style="87" customWidth="1"/>
    <col min="28" max="28" width="13.125" style="87" customWidth="1"/>
    <col min="29" max="16384" width="14.125" style="87" customWidth="1"/>
  </cols>
  <sheetData>
    <row r="1" spans="1:23" s="14" customFormat="1" ht="14.25" hidden="1">
      <c r="A1" s="7" t="str">
        <f>'[1]Заголовок'!$B$7</f>
        <v>Новосибирская область</v>
      </c>
      <c r="B1" s="8" t="str">
        <f>'[1]Заголовок'!$B$8</f>
        <v>Энергосбыт СП ЗСЖД</v>
      </c>
      <c r="C1" s="9" t="str">
        <f>'[1]Заголовок'!$B$9</f>
        <v>7708503727</v>
      </c>
      <c r="D1" s="9" t="str">
        <f>'[1]Заголовок'!$F$9</f>
        <v>997650001</v>
      </c>
      <c r="E1" s="10" t="str">
        <f>'[1]Заголовок'!$B$12</f>
        <v>2011</v>
      </c>
      <c r="F1" s="11"/>
      <c r="G1" s="12" t="s">
        <v>7</v>
      </c>
      <c r="H1" s="13" t="s">
        <v>7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7</v>
      </c>
      <c r="W1" s="11"/>
    </row>
    <row r="2" spans="1:22" s="16" customFormat="1" ht="14.25" hidden="1">
      <c r="A2" s="15"/>
      <c r="D2" s="17"/>
      <c r="G2" s="18">
        <f>$E$1-2</f>
        <v>2009</v>
      </c>
      <c r="H2" s="18">
        <f>$E$1-2</f>
        <v>2009</v>
      </c>
      <c r="I2" s="18">
        <f>$E$1-1</f>
        <v>2010</v>
      </c>
      <c r="J2" s="18" t="str">
        <f>$E$1</f>
        <v>2011</v>
      </c>
      <c r="K2" s="18" t="str">
        <f aca="true" t="shared" si="0" ref="K2:V2">$E$1</f>
        <v>2011</v>
      </c>
      <c r="L2" s="18" t="str">
        <f t="shared" si="0"/>
        <v>2011</v>
      </c>
      <c r="M2" s="18" t="str">
        <f t="shared" si="0"/>
        <v>2011</v>
      </c>
      <c r="N2" s="18" t="str">
        <f t="shared" si="0"/>
        <v>2011</v>
      </c>
      <c r="O2" s="18" t="str">
        <f t="shared" si="0"/>
        <v>2011</v>
      </c>
      <c r="P2" s="18" t="str">
        <f t="shared" si="0"/>
        <v>2011</v>
      </c>
      <c r="Q2" s="18" t="str">
        <f t="shared" si="0"/>
        <v>2011</v>
      </c>
      <c r="R2" s="18" t="str">
        <f t="shared" si="0"/>
        <v>2011</v>
      </c>
      <c r="S2" s="18" t="str">
        <f t="shared" si="0"/>
        <v>2011</v>
      </c>
      <c r="T2" s="18" t="str">
        <f t="shared" si="0"/>
        <v>2011</v>
      </c>
      <c r="U2" s="18" t="str">
        <f t="shared" si="0"/>
        <v>2011</v>
      </c>
      <c r="V2" s="18" t="str">
        <f t="shared" si="0"/>
        <v>2011</v>
      </c>
    </row>
    <row r="3" spans="4:22" s="13" customFormat="1" ht="14.25" hidden="1">
      <c r="D3" s="19"/>
      <c r="G3" s="13" t="s">
        <v>20</v>
      </c>
      <c r="H3" s="13" t="s">
        <v>21</v>
      </c>
      <c r="I3" s="13" t="s">
        <v>20</v>
      </c>
      <c r="J3" s="13" t="s">
        <v>20</v>
      </c>
      <c r="K3" s="13" t="s">
        <v>20</v>
      </c>
      <c r="L3" s="13" t="s">
        <v>20</v>
      </c>
      <c r="M3" s="13" t="s">
        <v>20</v>
      </c>
      <c r="N3" s="13" t="s">
        <v>20</v>
      </c>
      <c r="O3" s="13" t="s">
        <v>20</v>
      </c>
      <c r="P3" s="13" t="s">
        <v>20</v>
      </c>
      <c r="Q3" s="13" t="s">
        <v>20</v>
      </c>
      <c r="R3" s="13" t="s">
        <v>20</v>
      </c>
      <c r="S3" s="13" t="s">
        <v>20</v>
      </c>
      <c r="T3" s="13" t="s">
        <v>20</v>
      </c>
      <c r="U3" s="13" t="s">
        <v>20</v>
      </c>
      <c r="V3" s="13" t="s">
        <v>20</v>
      </c>
    </row>
    <row r="4" spans="1:4" s="79" customFormat="1" ht="14.25" hidden="1">
      <c r="A4" s="76"/>
      <c r="B4" s="11"/>
      <c r="C4" s="77"/>
      <c r="D4" s="78"/>
    </row>
    <row r="5" spans="1:4" s="79" customFormat="1" ht="14.25" hidden="1">
      <c r="A5" s="76"/>
      <c r="B5" s="11"/>
      <c r="C5" s="77"/>
      <c r="D5" s="78"/>
    </row>
    <row r="6" spans="1:28" s="79" customFormat="1" ht="15.75">
      <c r="A6" s="76"/>
      <c r="B6" s="11"/>
      <c r="C6" s="77"/>
      <c r="D6" s="9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 t="s">
        <v>0</v>
      </c>
      <c r="X6" s="94"/>
      <c r="Y6" s="94"/>
      <c r="Z6" s="94"/>
      <c r="AA6" s="94"/>
      <c r="AB6" s="94"/>
    </row>
    <row r="7" spans="1:28" s="84" customFormat="1" ht="15.75" hidden="1">
      <c r="A7" s="80"/>
      <c r="B7" s="81"/>
      <c r="C7" s="82"/>
      <c r="D7" s="9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spans="1:28" s="84" customFormat="1" ht="15.75" hidden="1">
      <c r="A8" s="80"/>
      <c r="B8" s="81"/>
      <c r="C8" s="82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</row>
    <row r="9" spans="1:28" s="79" customFormat="1" ht="58.5" customHeight="1" thickBot="1">
      <c r="A9" s="76"/>
      <c r="B9" s="11"/>
      <c r="C9" s="85"/>
      <c r="D9" s="97"/>
      <c r="E9" s="98" t="s">
        <v>326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9"/>
      <c r="X9" s="94"/>
      <c r="Y9" s="94"/>
      <c r="Z9" s="94"/>
      <c r="AA9" s="94"/>
      <c r="AB9" s="94"/>
    </row>
    <row r="10" spans="1:28" s="79" customFormat="1" ht="52.5" customHeight="1" thickBot="1">
      <c r="A10" s="76"/>
      <c r="B10" s="11"/>
      <c r="C10" s="77"/>
      <c r="D10" s="100" t="s">
        <v>22</v>
      </c>
      <c r="E10" s="101" t="s">
        <v>23</v>
      </c>
      <c r="F10" s="102"/>
      <c r="G10" s="103" t="s">
        <v>328</v>
      </c>
      <c r="H10" s="103" t="s">
        <v>327</v>
      </c>
      <c r="I10" s="103" t="s">
        <v>342</v>
      </c>
      <c r="J10" s="103" t="s">
        <v>335</v>
      </c>
      <c r="K10" s="103" t="s">
        <v>336</v>
      </c>
      <c r="L10" s="103" t="s">
        <v>337</v>
      </c>
      <c r="M10" s="103" t="s">
        <v>338</v>
      </c>
      <c r="N10" s="103" t="s">
        <v>339</v>
      </c>
      <c r="O10" s="103" t="s">
        <v>340</v>
      </c>
      <c r="P10" s="103" t="s">
        <v>341</v>
      </c>
      <c r="Q10" s="103" t="s">
        <v>343</v>
      </c>
      <c r="R10" s="103" t="s">
        <v>344</v>
      </c>
      <c r="S10" s="103" t="s">
        <v>345</v>
      </c>
      <c r="T10" s="103" t="s">
        <v>346</v>
      </c>
      <c r="U10" s="103" t="s">
        <v>347</v>
      </c>
      <c r="V10" s="104" t="s">
        <v>348</v>
      </c>
      <c r="W10" s="104" t="s">
        <v>329</v>
      </c>
      <c r="X10" s="104" t="s">
        <v>330</v>
      </c>
      <c r="Y10" s="104" t="s">
        <v>331</v>
      </c>
      <c r="Z10" s="104" t="s">
        <v>332</v>
      </c>
      <c r="AA10" s="104" t="s">
        <v>333</v>
      </c>
      <c r="AB10" s="104" t="s">
        <v>334</v>
      </c>
    </row>
    <row r="11" spans="1:28" s="79" customFormat="1" ht="26.25" customHeight="1" thickBot="1">
      <c r="A11" s="76"/>
      <c r="B11" s="11"/>
      <c r="C11" s="77"/>
      <c r="D11" s="338" t="s">
        <v>24</v>
      </c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40"/>
    </row>
    <row r="12" spans="1:29" s="79" customFormat="1" ht="25.5" customHeight="1">
      <c r="A12" s="76" t="s">
        <v>25</v>
      </c>
      <c r="B12" s="11" t="s">
        <v>26</v>
      </c>
      <c r="C12" s="77"/>
      <c r="D12" s="244">
        <v>1</v>
      </c>
      <c r="E12" s="245" t="s">
        <v>27</v>
      </c>
      <c r="F12" s="246" t="s">
        <v>28</v>
      </c>
      <c r="G12" s="281">
        <v>39.109</v>
      </c>
      <c r="H12" s="281">
        <f>'табл.1,4'!R10</f>
        <v>35.915335</v>
      </c>
      <c r="I12" s="281">
        <f>'табл.1,4'!R33</f>
        <v>35.695509550623825</v>
      </c>
      <c r="J12" s="292">
        <f>'табл.1,4'!W33/6</f>
        <v>2.9276666666666666</v>
      </c>
      <c r="K12" s="292">
        <f>J12</f>
        <v>2.9276666666666666</v>
      </c>
      <c r="L12" s="292">
        <v>2.9276666</v>
      </c>
      <c r="M12" s="292">
        <v>2.9276666</v>
      </c>
      <c r="N12" s="292">
        <v>2.9276666</v>
      </c>
      <c r="O12" s="292">
        <v>2.9276666</v>
      </c>
      <c r="P12" s="292">
        <f>'табл.1,4'!AB33/6</f>
        <v>3.021584925103971</v>
      </c>
      <c r="Q12" s="292">
        <f aca="true" t="shared" si="1" ref="Q12:U13">P12</f>
        <v>3.021584925103971</v>
      </c>
      <c r="R12" s="292">
        <f t="shared" si="1"/>
        <v>3.021584925103971</v>
      </c>
      <c r="S12" s="292">
        <f t="shared" si="1"/>
        <v>3.021584925103971</v>
      </c>
      <c r="T12" s="292">
        <f t="shared" si="1"/>
        <v>3.021584925103971</v>
      </c>
      <c r="U12" s="292">
        <f t="shared" si="1"/>
        <v>3.021584925103971</v>
      </c>
      <c r="V12" s="282">
        <f>J12+K12+L12+M12+N12+O12+P12+Q12+R12+S12+T12+U12</f>
        <v>35.695509283957165</v>
      </c>
      <c r="W12" s="281">
        <f>SUM(J12:L12)</f>
        <v>8.782999933333333</v>
      </c>
      <c r="X12" s="281">
        <f>SUM(M12:O12)</f>
        <v>8.782999799999999</v>
      </c>
      <c r="Y12" s="282">
        <f>SUM(W12:X12)</f>
        <v>17.56599973333333</v>
      </c>
      <c r="Z12" s="281">
        <f>SUM(P12:R12)</f>
        <v>9.064754775311913</v>
      </c>
      <c r="AA12" s="281">
        <f>SUM(S12:U12)</f>
        <v>9.064754775311913</v>
      </c>
      <c r="AB12" s="283">
        <f>SUM(Z12:AA12)</f>
        <v>18.129509550623826</v>
      </c>
      <c r="AC12" s="86"/>
    </row>
    <row r="13" spans="1:29" s="79" customFormat="1" ht="39.75" customHeight="1">
      <c r="A13" s="76" t="s">
        <v>29</v>
      </c>
      <c r="B13" s="11" t="s">
        <v>30</v>
      </c>
      <c r="C13" s="77"/>
      <c r="D13" s="105">
        <v>2</v>
      </c>
      <c r="E13" s="106" t="s">
        <v>31</v>
      </c>
      <c r="F13" s="107" t="s">
        <v>28</v>
      </c>
      <c r="G13" s="271">
        <v>6.261</v>
      </c>
      <c r="H13" s="271">
        <f>'табл.1,4'!R19</f>
        <v>3.5859319999999997</v>
      </c>
      <c r="I13" s="271">
        <f>'табл.1,4'!R42</f>
        <v>3.3664381610903433</v>
      </c>
      <c r="J13" s="272">
        <f>'табл.1,4'!W42/6</f>
        <v>0.27616988368999995</v>
      </c>
      <c r="K13" s="272">
        <f>J13</f>
        <v>0.27616988368999995</v>
      </c>
      <c r="L13" s="272">
        <f>K13</f>
        <v>0.27616988368999995</v>
      </c>
      <c r="M13" s="272">
        <f>L13</f>
        <v>0.27616988368999995</v>
      </c>
      <c r="N13" s="272">
        <f>M13</f>
        <v>0.27616988368999995</v>
      </c>
      <c r="O13" s="272">
        <f>N13</f>
        <v>0.27616988368999995</v>
      </c>
      <c r="P13" s="272">
        <f>'табл.1,4'!AB42/6</f>
        <v>0.2849031431583906</v>
      </c>
      <c r="Q13" s="272">
        <f t="shared" si="1"/>
        <v>0.2849031431583906</v>
      </c>
      <c r="R13" s="272">
        <f t="shared" si="1"/>
        <v>0.2849031431583906</v>
      </c>
      <c r="S13" s="272">
        <f t="shared" si="1"/>
        <v>0.2849031431583906</v>
      </c>
      <c r="T13" s="272">
        <f t="shared" si="1"/>
        <v>0.2849031431583906</v>
      </c>
      <c r="U13" s="272">
        <f t="shared" si="1"/>
        <v>0.2849031431583906</v>
      </c>
      <c r="V13" s="284">
        <f>J13+K13+L13+M13+N13+O13+P13+Q13+R13+S13+T13+U13</f>
        <v>3.366438161090344</v>
      </c>
      <c r="W13" s="271">
        <f aca="true" t="shared" si="2" ref="W13:AB13">SUM(W14:W15)</f>
        <v>0.8285096510699999</v>
      </c>
      <c r="X13" s="271">
        <f t="shared" si="2"/>
        <v>0.8285096510699999</v>
      </c>
      <c r="Y13" s="284">
        <f t="shared" si="2"/>
        <v>1.6570193021399997</v>
      </c>
      <c r="Z13" s="271">
        <f t="shared" si="2"/>
        <v>0.8547094294751718</v>
      </c>
      <c r="AA13" s="271">
        <f t="shared" si="2"/>
        <v>0.8547094294751718</v>
      </c>
      <c r="AB13" s="273">
        <f t="shared" si="2"/>
        <v>1.7094188589503436</v>
      </c>
      <c r="AC13" s="86"/>
    </row>
    <row r="14" spans="1:29" s="79" customFormat="1" ht="27.75" customHeight="1">
      <c r="A14" s="76" t="s">
        <v>32</v>
      </c>
      <c r="B14" s="11" t="s">
        <v>33</v>
      </c>
      <c r="C14" s="77"/>
      <c r="D14" s="105" t="s">
        <v>34</v>
      </c>
      <c r="E14" s="106" t="s">
        <v>33</v>
      </c>
      <c r="F14" s="107" t="s">
        <v>28</v>
      </c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5"/>
      <c r="W14" s="274">
        <f>SUM(J14:L14)</f>
        <v>0</v>
      </c>
      <c r="X14" s="274">
        <f>SUM(M14:O14)</f>
        <v>0</v>
      </c>
      <c r="Y14" s="275">
        <f>W14+X14</f>
        <v>0</v>
      </c>
      <c r="Z14" s="274">
        <f>SUM(P14:R14)</f>
        <v>0</v>
      </c>
      <c r="AA14" s="274">
        <f>SUM(S14:U14)</f>
        <v>0</v>
      </c>
      <c r="AB14" s="276">
        <f>Z14+AA14</f>
        <v>0</v>
      </c>
      <c r="AC14" s="86"/>
    </row>
    <row r="15" spans="1:29" ht="39.75" customHeight="1">
      <c r="A15" s="76" t="s">
        <v>35</v>
      </c>
      <c r="B15" s="11" t="s">
        <v>36</v>
      </c>
      <c r="D15" s="105" t="s">
        <v>37</v>
      </c>
      <c r="E15" s="106" t="s">
        <v>36</v>
      </c>
      <c r="F15" s="107" t="s">
        <v>28</v>
      </c>
      <c r="G15" s="274">
        <v>6.261</v>
      </c>
      <c r="H15" s="274">
        <v>3.5859319999999997</v>
      </c>
      <c r="I15" s="274">
        <v>3.3664381610903433</v>
      </c>
      <c r="J15" s="272">
        <v>0.27616988368999995</v>
      </c>
      <c r="K15" s="272">
        <v>0.27616988368999995</v>
      </c>
      <c r="L15" s="272">
        <v>0.27616988368999995</v>
      </c>
      <c r="M15" s="272">
        <v>0.27616988368999995</v>
      </c>
      <c r="N15" s="272">
        <v>0.27616988368999995</v>
      </c>
      <c r="O15" s="272">
        <v>0.27616988368999995</v>
      </c>
      <c r="P15" s="272">
        <v>0.2849031431583906</v>
      </c>
      <c r="Q15" s="272">
        <v>0.2849031431583906</v>
      </c>
      <c r="R15" s="272">
        <v>0.2849031431583906</v>
      </c>
      <c r="S15" s="272">
        <v>0.2849031431583906</v>
      </c>
      <c r="T15" s="272">
        <v>0.2849031431583906</v>
      </c>
      <c r="U15" s="272">
        <v>0.2849031431583906</v>
      </c>
      <c r="V15" s="275">
        <f>J15+K15+L15+M15+N15+O15+P15+Q15+R15+S15+T15+U15</f>
        <v>3.366438161090344</v>
      </c>
      <c r="W15" s="274">
        <f>SUM(J15:L15)</f>
        <v>0.8285096510699999</v>
      </c>
      <c r="X15" s="274">
        <f>SUM(M15:O15)</f>
        <v>0.8285096510699999</v>
      </c>
      <c r="Y15" s="275">
        <f>W15+X15</f>
        <v>1.6570193021399997</v>
      </c>
      <c r="Z15" s="274">
        <f>SUM(P15:R15)</f>
        <v>0.8547094294751718</v>
      </c>
      <c r="AA15" s="274">
        <f>SUM(S15:U15)</f>
        <v>0.8547094294751718</v>
      </c>
      <c r="AB15" s="276">
        <f>Z15+AA15</f>
        <v>1.7094188589503436</v>
      </c>
      <c r="AC15" s="86"/>
    </row>
    <row r="16" spans="1:29" ht="41.25" customHeight="1">
      <c r="A16" s="76" t="s">
        <v>38</v>
      </c>
      <c r="B16" s="11" t="s">
        <v>39</v>
      </c>
      <c r="D16" s="105">
        <v>3</v>
      </c>
      <c r="E16" s="106" t="s">
        <v>40</v>
      </c>
      <c r="F16" s="108" t="s">
        <v>41</v>
      </c>
      <c r="G16" s="277">
        <v>16.009102764069652</v>
      </c>
      <c r="H16" s="277">
        <f>IF(H12=0,0,H13/H12*100)</f>
        <v>9.98440359807308</v>
      </c>
      <c r="I16" s="277">
        <f>IF(I12=0,0,I13/I12*100)</f>
        <v>9.430985027167123</v>
      </c>
      <c r="J16" s="277">
        <v>9.435</v>
      </c>
      <c r="K16" s="277">
        <v>9.435</v>
      </c>
      <c r="L16" s="277">
        <v>9.435</v>
      </c>
      <c r="M16" s="277">
        <v>9.435</v>
      </c>
      <c r="N16" s="277">
        <v>9.435</v>
      </c>
      <c r="O16" s="277">
        <v>9.435</v>
      </c>
      <c r="P16" s="277">
        <v>9.435</v>
      </c>
      <c r="Q16" s="277">
        <v>9.435</v>
      </c>
      <c r="R16" s="277">
        <v>9.435</v>
      </c>
      <c r="S16" s="277">
        <v>9.435</v>
      </c>
      <c r="T16" s="277">
        <v>9.435</v>
      </c>
      <c r="U16" s="277">
        <v>9.435</v>
      </c>
      <c r="V16" s="277">
        <v>9.435</v>
      </c>
      <c r="W16" s="277">
        <v>9.435</v>
      </c>
      <c r="X16" s="277">
        <v>9.435</v>
      </c>
      <c r="Y16" s="277">
        <v>9.435</v>
      </c>
      <c r="Z16" s="277">
        <v>9.435</v>
      </c>
      <c r="AA16" s="277">
        <v>9.435</v>
      </c>
      <c r="AB16" s="307">
        <v>9.435</v>
      </c>
      <c r="AC16" s="86"/>
    </row>
    <row r="17" spans="1:29" ht="39.75" customHeight="1">
      <c r="A17" s="76" t="s">
        <v>42</v>
      </c>
      <c r="B17" s="11" t="s">
        <v>43</v>
      </c>
      <c r="D17" s="105">
        <v>4</v>
      </c>
      <c r="E17" s="106" t="s">
        <v>44</v>
      </c>
      <c r="F17" s="107" t="s">
        <v>28</v>
      </c>
      <c r="G17" s="274">
        <v>32.848</v>
      </c>
      <c r="H17" s="274">
        <f>'табл.1,4'!R22</f>
        <v>32.329423</v>
      </c>
      <c r="I17" s="274">
        <f>'табл.1,4'!R45</f>
        <v>32.329423</v>
      </c>
      <c r="J17" s="280">
        <f>'табл.1,4'!W45/6</f>
        <v>2.6514967829766665</v>
      </c>
      <c r="K17" s="280">
        <v>2.6514</v>
      </c>
      <c r="L17" s="280">
        <v>2.6514</v>
      </c>
      <c r="M17" s="280">
        <v>2.6514</v>
      </c>
      <c r="N17" s="280">
        <v>2.6514</v>
      </c>
      <c r="O17" s="280">
        <v>2.6514</v>
      </c>
      <c r="P17" s="280">
        <f>'табл.1,4'!AB45/6</f>
        <v>2.73674038369</v>
      </c>
      <c r="Q17" s="280">
        <f>P17</f>
        <v>2.73674038369</v>
      </c>
      <c r="R17" s="280">
        <f>Q17</f>
        <v>2.73674038369</v>
      </c>
      <c r="S17" s="280">
        <f>R17</f>
        <v>2.73674038369</v>
      </c>
      <c r="T17" s="280">
        <f>S17</f>
        <v>2.73674038369</v>
      </c>
      <c r="U17" s="280">
        <f>T17</f>
        <v>2.73674038369</v>
      </c>
      <c r="V17" s="275">
        <f>SUM(J17:U17)</f>
        <v>32.32893908511666</v>
      </c>
      <c r="W17" s="274">
        <f>SUM(J17:L17)</f>
        <v>7.954296782976668</v>
      </c>
      <c r="X17" s="274">
        <f>SUM(M17:O17)</f>
        <v>7.9542</v>
      </c>
      <c r="Y17" s="275">
        <f>W17+X17</f>
        <v>15.908496782976668</v>
      </c>
      <c r="Z17" s="274">
        <f>SUM(P17:R17)</f>
        <v>8.21022115107</v>
      </c>
      <c r="AA17" s="274">
        <f>SUM(S17:U17)</f>
        <v>8.21022115107</v>
      </c>
      <c r="AB17" s="276">
        <f>Z17+AA17</f>
        <v>16.42044230214</v>
      </c>
      <c r="AC17" s="86"/>
    </row>
    <row r="18" spans="1:29" ht="24.75" customHeight="1">
      <c r="A18" s="76" t="s">
        <v>45</v>
      </c>
      <c r="B18" s="11" t="s">
        <v>46</v>
      </c>
      <c r="D18" s="105" t="s">
        <v>47</v>
      </c>
      <c r="E18" s="106" t="s">
        <v>46</v>
      </c>
      <c r="F18" s="107" t="s">
        <v>28</v>
      </c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5"/>
      <c r="W18" s="274"/>
      <c r="X18" s="274"/>
      <c r="Y18" s="275"/>
      <c r="Z18" s="274"/>
      <c r="AA18" s="274"/>
      <c r="AB18" s="276"/>
      <c r="AC18" s="86"/>
    </row>
    <row r="19" spans="1:29" ht="42.75" customHeight="1" thickBot="1">
      <c r="A19" s="76" t="s">
        <v>48</v>
      </c>
      <c r="B19" s="11" t="s">
        <v>49</v>
      </c>
      <c r="D19" s="109" t="s">
        <v>50</v>
      </c>
      <c r="E19" s="110" t="s">
        <v>49</v>
      </c>
      <c r="F19" s="293" t="s">
        <v>28</v>
      </c>
      <c r="G19" s="294">
        <v>32.848</v>
      </c>
      <c r="H19" s="294">
        <v>32.329423</v>
      </c>
      <c r="I19" s="294">
        <v>32.329423</v>
      </c>
      <c r="J19" s="295">
        <v>2.6514967829766665</v>
      </c>
      <c r="K19" s="295">
        <v>2.6514</v>
      </c>
      <c r="L19" s="295">
        <v>2.6514</v>
      </c>
      <c r="M19" s="295">
        <v>2.6514</v>
      </c>
      <c r="N19" s="295">
        <v>2.6514</v>
      </c>
      <c r="O19" s="295">
        <v>2.6514</v>
      </c>
      <c r="P19" s="295">
        <v>2.73674038369</v>
      </c>
      <c r="Q19" s="295">
        <v>2.73674038369</v>
      </c>
      <c r="R19" s="295">
        <v>2.73674038369</v>
      </c>
      <c r="S19" s="295">
        <v>2.73674038369</v>
      </c>
      <c r="T19" s="295">
        <v>2.73674038369</v>
      </c>
      <c r="U19" s="295">
        <v>2.73674038369</v>
      </c>
      <c r="V19" s="296">
        <f>V17</f>
        <v>32.32893908511666</v>
      </c>
      <c r="W19" s="294">
        <v>7.954224063665334</v>
      </c>
      <c r="X19" s="294">
        <v>7.9542</v>
      </c>
      <c r="Y19" s="296">
        <v>15.908424063665334</v>
      </c>
      <c r="Z19" s="294">
        <f>SUM(P19:R19)</f>
        <v>8.21022115107</v>
      </c>
      <c r="AA19" s="294">
        <f>SUM(S19:U19)</f>
        <v>8.21022115107</v>
      </c>
      <c r="AB19" s="297">
        <f>Z19+AA19</f>
        <v>16.42044230214</v>
      </c>
      <c r="AC19" s="86"/>
    </row>
    <row r="20" spans="1:28" ht="26.25" customHeight="1" thickBot="1">
      <c r="A20" s="76"/>
      <c r="B20" s="11"/>
      <c r="D20" s="338" t="s">
        <v>51</v>
      </c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40"/>
    </row>
    <row r="21" spans="1:28" ht="27" customHeight="1">
      <c r="A21" s="76" t="s">
        <v>52</v>
      </c>
      <c r="B21" s="11" t="s">
        <v>26</v>
      </c>
      <c r="D21" s="244" t="s">
        <v>53</v>
      </c>
      <c r="E21" s="245" t="s">
        <v>27</v>
      </c>
      <c r="F21" s="246" t="s">
        <v>54</v>
      </c>
      <c r="G21" s="281">
        <v>5.429</v>
      </c>
      <c r="H21" s="281">
        <f>H12/7.204</f>
        <v>4.985471265963354</v>
      </c>
      <c r="I21" s="281">
        <f>I12/7.204</f>
        <v>4.954956905972214</v>
      </c>
      <c r="J21" s="281">
        <f>'табл.1.5'!Z36</f>
        <v>4.876735147140478</v>
      </c>
      <c r="K21" s="281">
        <f aca="true" t="shared" si="3" ref="K21:O22">J21</f>
        <v>4.876735147140478</v>
      </c>
      <c r="L21" s="281">
        <f t="shared" si="3"/>
        <v>4.876735147140478</v>
      </c>
      <c r="M21" s="281">
        <f t="shared" si="3"/>
        <v>4.876735147140478</v>
      </c>
      <c r="N21" s="281">
        <f t="shared" si="3"/>
        <v>4.876735147140478</v>
      </c>
      <c r="O21" s="281">
        <f t="shared" si="3"/>
        <v>4.876735147140478</v>
      </c>
      <c r="P21" s="281">
        <f>'табл.1.5'!AB31</f>
        <v>5.03317866480395</v>
      </c>
      <c r="Q21" s="281">
        <f aca="true" t="shared" si="4" ref="Q21:U22">P21</f>
        <v>5.03317866480395</v>
      </c>
      <c r="R21" s="281">
        <f t="shared" si="4"/>
        <v>5.03317866480395</v>
      </c>
      <c r="S21" s="281">
        <f t="shared" si="4"/>
        <v>5.03317866480395</v>
      </c>
      <c r="T21" s="281">
        <f t="shared" si="4"/>
        <v>5.03317866480395</v>
      </c>
      <c r="U21" s="281">
        <f t="shared" si="4"/>
        <v>5.03317866480395</v>
      </c>
      <c r="V21" s="282">
        <f>V12/7.204</f>
        <v>4.954956868955742</v>
      </c>
      <c r="W21" s="281">
        <f>J21</f>
        <v>4.876735147140478</v>
      </c>
      <c r="X21" s="281">
        <f>W21</f>
        <v>4.876735147140478</v>
      </c>
      <c r="Y21" s="282">
        <f>X21</f>
        <v>4.876735147140478</v>
      </c>
      <c r="Z21" s="281">
        <f>P21</f>
        <v>5.03317866480395</v>
      </c>
      <c r="AA21" s="281">
        <f>Z21</f>
        <v>5.03317866480395</v>
      </c>
      <c r="AB21" s="283">
        <f>Z21</f>
        <v>5.03317866480395</v>
      </c>
    </row>
    <row r="22" spans="1:28" ht="39.75" customHeight="1">
      <c r="A22" s="76" t="s">
        <v>55</v>
      </c>
      <c r="B22" s="11" t="s">
        <v>30</v>
      </c>
      <c r="D22" s="105" t="s">
        <v>56</v>
      </c>
      <c r="E22" s="106" t="s">
        <v>31</v>
      </c>
      <c r="F22" s="107" t="s">
        <v>54</v>
      </c>
      <c r="G22" s="274">
        <v>0.869</v>
      </c>
      <c r="H22" s="274">
        <f>H13/7.204</f>
        <v>0.49776957245974457</v>
      </c>
      <c r="I22" s="274">
        <f>I13/7.204</f>
        <v>0.4673012439048228</v>
      </c>
      <c r="J22" s="274">
        <f>'табл.1.5'!W40</f>
        <v>0.4600275686118822</v>
      </c>
      <c r="K22" s="274">
        <f t="shared" si="3"/>
        <v>0.4600275686118822</v>
      </c>
      <c r="L22" s="274">
        <f t="shared" si="3"/>
        <v>0.4600275686118822</v>
      </c>
      <c r="M22" s="274">
        <f t="shared" si="3"/>
        <v>0.4600275686118822</v>
      </c>
      <c r="N22" s="274">
        <f t="shared" si="3"/>
        <v>0.4600275686118822</v>
      </c>
      <c r="O22" s="274">
        <f t="shared" si="3"/>
        <v>0.4600275686118822</v>
      </c>
      <c r="P22" s="274">
        <f>'табл.1.5'!AB40</f>
        <v>0.4745749191977634</v>
      </c>
      <c r="Q22" s="274">
        <f t="shared" si="4"/>
        <v>0.4745749191977634</v>
      </c>
      <c r="R22" s="274">
        <f t="shared" si="4"/>
        <v>0.4745749191977634</v>
      </c>
      <c r="S22" s="274">
        <f t="shared" si="4"/>
        <v>0.4745749191977634</v>
      </c>
      <c r="T22" s="274">
        <f t="shared" si="4"/>
        <v>0.4745749191977634</v>
      </c>
      <c r="U22" s="274">
        <f t="shared" si="4"/>
        <v>0.4745749191977634</v>
      </c>
      <c r="V22" s="274">
        <f>V13/7.204</f>
        <v>0.4673012439048229</v>
      </c>
      <c r="W22" s="274">
        <v>0.46</v>
      </c>
      <c r="X22" s="274">
        <v>0.46</v>
      </c>
      <c r="Y22" s="275">
        <v>0.46</v>
      </c>
      <c r="Z22" s="274">
        <f>R22</f>
        <v>0.4745749191977634</v>
      </c>
      <c r="AA22" s="274">
        <f>S22</f>
        <v>0.4745749191977634</v>
      </c>
      <c r="AB22" s="276">
        <v>0.475</v>
      </c>
    </row>
    <row r="23" spans="1:28" ht="24.75" customHeight="1">
      <c r="A23" s="76" t="s">
        <v>57</v>
      </c>
      <c r="B23" s="11" t="s">
        <v>33</v>
      </c>
      <c r="D23" s="105" t="s">
        <v>58</v>
      </c>
      <c r="E23" s="106" t="s">
        <v>33</v>
      </c>
      <c r="F23" s="107" t="s">
        <v>54</v>
      </c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5"/>
      <c r="W23" s="274"/>
      <c r="X23" s="274"/>
      <c r="Y23" s="275"/>
      <c r="Z23" s="274"/>
      <c r="AA23" s="274"/>
      <c r="AB23" s="276"/>
    </row>
    <row r="24" spans="1:28" ht="33" customHeight="1">
      <c r="A24" s="76" t="s">
        <v>59</v>
      </c>
      <c r="B24" s="11" t="s">
        <v>36</v>
      </c>
      <c r="D24" s="105" t="s">
        <v>60</v>
      </c>
      <c r="E24" s="106" t="s">
        <v>36</v>
      </c>
      <c r="F24" s="107" t="s">
        <v>54</v>
      </c>
      <c r="G24" s="274">
        <v>0.869</v>
      </c>
      <c r="H24" s="274">
        <v>0.49776957245974457</v>
      </c>
      <c r="I24" s="274">
        <v>0.4673012439048228</v>
      </c>
      <c r="J24" s="274">
        <v>0.4600275686118822</v>
      </c>
      <c r="K24" s="274">
        <v>0.4600275686118822</v>
      </c>
      <c r="L24" s="274">
        <v>0.4600275686118822</v>
      </c>
      <c r="M24" s="274">
        <v>0.4600275686118822</v>
      </c>
      <c r="N24" s="274">
        <v>0.4600275686118822</v>
      </c>
      <c r="O24" s="274">
        <v>0.4600275686118822</v>
      </c>
      <c r="P24" s="274">
        <v>0.4745749191977634</v>
      </c>
      <c r="Q24" s="274">
        <v>0.4745749191977634</v>
      </c>
      <c r="R24" s="274">
        <v>0.4745749191977634</v>
      </c>
      <c r="S24" s="274">
        <v>0.4745749191977634</v>
      </c>
      <c r="T24" s="274">
        <v>0.4745749191977634</v>
      </c>
      <c r="U24" s="274">
        <v>0.4745749191977634</v>
      </c>
      <c r="V24" s="275">
        <v>0.4673012439048229</v>
      </c>
      <c r="W24" s="274">
        <v>0.46</v>
      </c>
      <c r="X24" s="274">
        <v>0.46</v>
      </c>
      <c r="Y24" s="275">
        <v>0.46</v>
      </c>
      <c r="Z24" s="274">
        <v>0.4745749191977634</v>
      </c>
      <c r="AA24" s="274">
        <v>0.4745749191977634</v>
      </c>
      <c r="AB24" s="276">
        <v>0.475</v>
      </c>
    </row>
    <row r="25" spans="1:28" ht="30.75" customHeight="1">
      <c r="A25" s="76" t="s">
        <v>61</v>
      </c>
      <c r="B25" s="11" t="s">
        <v>39</v>
      </c>
      <c r="D25" s="105" t="s">
        <v>62</v>
      </c>
      <c r="E25" s="106" t="s">
        <v>40</v>
      </c>
      <c r="F25" s="108" t="s">
        <v>41</v>
      </c>
      <c r="G25" s="277">
        <v>16.00663105544299</v>
      </c>
      <c r="H25" s="277">
        <f>IF(H21=0,0,H22/H21*100)</f>
        <v>9.98440359807308</v>
      </c>
      <c r="I25" s="277">
        <f>IF(I21=0,0,I22/I21*100)</f>
        <v>9.430985027167123</v>
      </c>
      <c r="J25" s="277">
        <v>9.435</v>
      </c>
      <c r="K25" s="277">
        <v>9.435</v>
      </c>
      <c r="L25" s="277">
        <v>9.435</v>
      </c>
      <c r="M25" s="277">
        <v>9.435</v>
      </c>
      <c r="N25" s="277">
        <v>9.435</v>
      </c>
      <c r="O25" s="277">
        <v>9.435</v>
      </c>
      <c r="P25" s="277">
        <v>9.435</v>
      </c>
      <c r="Q25" s="277">
        <v>9.435</v>
      </c>
      <c r="R25" s="277">
        <v>9.435</v>
      </c>
      <c r="S25" s="277">
        <v>9.435</v>
      </c>
      <c r="T25" s="277">
        <v>9.435</v>
      </c>
      <c r="U25" s="277">
        <v>9.435</v>
      </c>
      <c r="V25" s="278">
        <v>9.435</v>
      </c>
      <c r="W25" s="277">
        <v>9.434</v>
      </c>
      <c r="X25" s="277">
        <v>9.435</v>
      </c>
      <c r="Y25" s="278">
        <v>9.435</v>
      </c>
      <c r="Z25" s="277">
        <v>9.435</v>
      </c>
      <c r="AA25" s="277">
        <v>9.435</v>
      </c>
      <c r="AB25" s="279">
        <v>9.435</v>
      </c>
    </row>
    <row r="26" spans="1:28" ht="34.5" customHeight="1">
      <c r="A26" s="76" t="s">
        <v>63</v>
      </c>
      <c r="B26" s="11" t="s">
        <v>43</v>
      </c>
      <c r="D26" s="105" t="s">
        <v>64</v>
      </c>
      <c r="E26" s="106" t="s">
        <v>65</v>
      </c>
      <c r="F26" s="107" t="s">
        <v>54</v>
      </c>
      <c r="G26" s="274">
        <v>3.232</v>
      </c>
      <c r="H26" s="274">
        <f>H17/7.204</f>
        <v>4.487704469739034</v>
      </c>
      <c r="I26" s="274">
        <f>'табл.1.5'!R43</f>
        <v>4.487704469739034</v>
      </c>
      <c r="J26" s="274">
        <f>'табл.1.5'!W43</f>
        <v>4.416707578528595</v>
      </c>
      <c r="K26" s="274">
        <v>4.4165864469716825</v>
      </c>
      <c r="L26" s="274">
        <v>4.4165864469716825</v>
      </c>
      <c r="M26" s="274">
        <v>4.4165864469716825</v>
      </c>
      <c r="N26" s="274">
        <v>4.4165864469716825</v>
      </c>
      <c r="O26" s="274">
        <v>4.4165864469716825</v>
      </c>
      <c r="P26" s="274">
        <f>'табл.1.5'!AB43</f>
        <v>4.558701360949472</v>
      </c>
      <c r="Q26" s="274">
        <f>P26</f>
        <v>4.558701360949472</v>
      </c>
      <c r="R26" s="274">
        <f>Q26</f>
        <v>4.558701360949472</v>
      </c>
      <c r="S26" s="274">
        <f>R26</f>
        <v>4.558701360949472</v>
      </c>
      <c r="T26" s="274">
        <f>S26</f>
        <v>4.558701360949472</v>
      </c>
      <c r="U26" s="274">
        <f>T26</f>
        <v>4.558701360949472</v>
      </c>
      <c r="V26" s="275">
        <f>I26</f>
        <v>4.487704469739034</v>
      </c>
      <c r="W26" s="274">
        <v>4.417</v>
      </c>
      <c r="X26" s="274">
        <v>4.417</v>
      </c>
      <c r="Y26" s="275">
        <v>4.417</v>
      </c>
      <c r="Z26" s="274">
        <f>P26</f>
        <v>4.558701360949472</v>
      </c>
      <c r="AA26" s="274">
        <f>Z26</f>
        <v>4.558701360949472</v>
      </c>
      <c r="AB26" s="276">
        <f>AA26</f>
        <v>4.558701360949472</v>
      </c>
    </row>
    <row r="27" spans="1:28" ht="27.75" customHeight="1">
      <c r="A27" s="76" t="s">
        <v>66</v>
      </c>
      <c r="B27" s="11" t="s">
        <v>46</v>
      </c>
      <c r="D27" s="105" t="s">
        <v>67</v>
      </c>
      <c r="E27" s="106" t="s">
        <v>46</v>
      </c>
      <c r="F27" s="107" t="s">
        <v>54</v>
      </c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5">
        <f>SUM(J27:U27)/12</f>
        <v>0</v>
      </c>
      <c r="W27" s="274">
        <f>(J27+K27+L27)/3</f>
        <v>0</v>
      </c>
      <c r="X27" s="274">
        <f>(M27+N27+O27)/3</f>
        <v>0</v>
      </c>
      <c r="Y27" s="275">
        <f>(W27+X27)/2</f>
        <v>0</v>
      </c>
      <c r="Z27" s="274">
        <f>(P27+Q27+R27)/3</f>
        <v>0</v>
      </c>
      <c r="AA27" s="274">
        <f>(S27+T27+U27)/3</f>
        <v>0</v>
      </c>
      <c r="AB27" s="276">
        <f>(Z27+AA27)/2</f>
        <v>0</v>
      </c>
    </row>
    <row r="28" spans="1:28" ht="33" customHeight="1">
      <c r="A28" s="76" t="s">
        <v>68</v>
      </c>
      <c r="B28" s="11" t="s">
        <v>49</v>
      </c>
      <c r="D28" s="105" t="s">
        <v>69</v>
      </c>
      <c r="E28" s="106" t="s">
        <v>49</v>
      </c>
      <c r="F28" s="107" t="s">
        <v>54</v>
      </c>
      <c r="G28" s="274">
        <v>3.232</v>
      </c>
      <c r="H28" s="274">
        <v>4.487704469739034</v>
      </c>
      <c r="I28" s="274">
        <v>4.487704469739034</v>
      </c>
      <c r="J28" s="274">
        <v>4.416707578528595</v>
      </c>
      <c r="K28" s="274">
        <v>4.4165864469716825</v>
      </c>
      <c r="L28" s="274">
        <v>4.4165864469716825</v>
      </c>
      <c r="M28" s="274">
        <v>4.4165864469716825</v>
      </c>
      <c r="N28" s="274">
        <v>4.4165864469716825</v>
      </c>
      <c r="O28" s="274">
        <v>4.4165864469716825</v>
      </c>
      <c r="P28" s="274">
        <v>4.558701360949472</v>
      </c>
      <c r="Q28" s="274">
        <v>4.558701360949472</v>
      </c>
      <c r="R28" s="274">
        <v>4.558701360949472</v>
      </c>
      <c r="S28" s="274">
        <v>4.558701360949472</v>
      </c>
      <c r="T28" s="274">
        <v>4.558701360949472</v>
      </c>
      <c r="U28" s="274">
        <v>4.558701360949472</v>
      </c>
      <c r="V28" s="275">
        <v>4.487704469739034</v>
      </c>
      <c r="W28" s="274">
        <v>4.417</v>
      </c>
      <c r="X28" s="274">
        <v>4.417</v>
      </c>
      <c r="Y28" s="275">
        <v>4.417</v>
      </c>
      <c r="Z28" s="274">
        <v>4.558701360949472</v>
      </c>
      <c r="AA28" s="274">
        <v>4.558701360949472</v>
      </c>
      <c r="AB28" s="276">
        <v>4.558701360949472</v>
      </c>
    </row>
    <row r="29" spans="1:28" ht="23.25" customHeight="1">
      <c r="A29" s="76" t="s">
        <v>70</v>
      </c>
      <c r="B29" s="11" t="s">
        <v>71</v>
      </c>
      <c r="D29" s="105" t="s">
        <v>72</v>
      </c>
      <c r="E29" s="106" t="s">
        <v>73</v>
      </c>
      <c r="F29" s="108" t="s">
        <v>54</v>
      </c>
      <c r="G29" s="271">
        <v>5.429</v>
      </c>
      <c r="H29" s="271">
        <v>4.985471265963354</v>
      </c>
      <c r="I29" s="271">
        <v>4.954956905972214</v>
      </c>
      <c r="J29" s="287">
        <v>4.876735147140478</v>
      </c>
      <c r="K29" s="287">
        <v>4.876735147140478</v>
      </c>
      <c r="L29" s="287">
        <v>4.876735147140478</v>
      </c>
      <c r="M29" s="287">
        <v>4.876735147140478</v>
      </c>
      <c r="N29" s="287">
        <v>4.876735147140478</v>
      </c>
      <c r="O29" s="287">
        <v>4.876735147140478</v>
      </c>
      <c r="P29" s="287">
        <v>5.03317866480395</v>
      </c>
      <c r="Q29" s="287">
        <v>5.03317866480395</v>
      </c>
      <c r="R29" s="287">
        <v>5.03317866480395</v>
      </c>
      <c r="S29" s="287">
        <v>5.03317866480395</v>
      </c>
      <c r="T29" s="287">
        <v>5.03317866480395</v>
      </c>
      <c r="U29" s="287">
        <v>5.03317866480395</v>
      </c>
      <c r="V29" s="288">
        <v>4.954956868955742</v>
      </c>
      <c r="W29" s="287">
        <v>4.876735147140478</v>
      </c>
      <c r="X29" s="287">
        <v>4.876735147140478</v>
      </c>
      <c r="Y29" s="288">
        <v>4.876735147140478</v>
      </c>
      <c r="Z29" s="287">
        <v>5.03317866480395</v>
      </c>
      <c r="AA29" s="287">
        <v>5.03317866480395</v>
      </c>
      <c r="AB29" s="289">
        <v>5.03317866480395</v>
      </c>
    </row>
    <row r="30" spans="1:28" ht="21.75" customHeight="1">
      <c r="A30" s="76" t="s">
        <v>74</v>
      </c>
      <c r="B30" s="11" t="s">
        <v>33</v>
      </c>
      <c r="D30" s="105" t="s">
        <v>75</v>
      </c>
      <c r="E30" s="106" t="s">
        <v>33</v>
      </c>
      <c r="F30" s="108" t="s">
        <v>54</v>
      </c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5">
        <f>SUM(J30:U30)/12</f>
        <v>0</v>
      </c>
      <c r="W30" s="274">
        <f>(J30+K30+L30)/3</f>
        <v>0</v>
      </c>
      <c r="X30" s="274">
        <f>(M30+N30+O30)/3</f>
        <v>0</v>
      </c>
      <c r="Y30" s="275">
        <f>(W30+X30)/2</f>
        <v>0</v>
      </c>
      <c r="Z30" s="274">
        <f>(P30+Q30+R30)/3</f>
        <v>0</v>
      </c>
      <c r="AA30" s="274">
        <f>(S30+T30+U30)/3</f>
        <v>0</v>
      </c>
      <c r="AB30" s="276">
        <f>(Z30+AA30)/2</f>
        <v>0</v>
      </c>
    </row>
    <row r="31" spans="1:28" ht="45.75" customHeight="1">
      <c r="A31" s="76" t="s">
        <v>76</v>
      </c>
      <c r="B31" s="11" t="s">
        <v>77</v>
      </c>
      <c r="D31" s="105" t="s">
        <v>78</v>
      </c>
      <c r="E31" s="106" t="s">
        <v>77</v>
      </c>
      <c r="F31" s="108" t="s">
        <v>54</v>
      </c>
      <c r="G31" s="271">
        <v>5.429</v>
      </c>
      <c r="H31" s="271">
        <v>4.985471265963354</v>
      </c>
      <c r="I31" s="271">
        <v>4.954956905972214</v>
      </c>
      <c r="J31" s="287">
        <v>4.876735147140478</v>
      </c>
      <c r="K31" s="287">
        <v>4.876735147140478</v>
      </c>
      <c r="L31" s="287">
        <v>4.876735147140478</v>
      </c>
      <c r="M31" s="287">
        <v>4.876735147140478</v>
      </c>
      <c r="N31" s="287">
        <v>4.876735147140478</v>
      </c>
      <c r="O31" s="287">
        <v>4.876735147140478</v>
      </c>
      <c r="P31" s="287">
        <v>5.03317866480395</v>
      </c>
      <c r="Q31" s="287">
        <v>5.03317866480395</v>
      </c>
      <c r="R31" s="287">
        <v>5.03317866480395</v>
      </c>
      <c r="S31" s="287">
        <v>5.03317866480395</v>
      </c>
      <c r="T31" s="287">
        <v>5.03317866480395</v>
      </c>
      <c r="U31" s="287">
        <v>5.03317866480395</v>
      </c>
      <c r="V31" s="288">
        <v>4.954956868955742</v>
      </c>
      <c r="W31" s="287">
        <v>4.876735147140478</v>
      </c>
      <c r="X31" s="287">
        <v>4.876735147140478</v>
      </c>
      <c r="Y31" s="288">
        <v>4.876735147140478</v>
      </c>
      <c r="Z31" s="287">
        <v>5.03317866480395</v>
      </c>
      <c r="AA31" s="287">
        <v>5.03317866480395</v>
      </c>
      <c r="AB31" s="289">
        <v>5.03317866480395</v>
      </c>
    </row>
    <row r="32" spans="1:28" ht="22.5" customHeight="1">
      <c r="A32" s="76" t="s">
        <v>79</v>
      </c>
      <c r="B32" s="11" t="s">
        <v>80</v>
      </c>
      <c r="D32" s="105" t="s">
        <v>81</v>
      </c>
      <c r="E32" s="106" t="s">
        <v>82</v>
      </c>
      <c r="F32" s="108" t="s">
        <v>83</v>
      </c>
      <c r="G32" s="271">
        <v>12.217</v>
      </c>
      <c r="H32" s="271">
        <v>10.342</v>
      </c>
      <c r="I32" s="271">
        <v>12.217</v>
      </c>
      <c r="J32" s="271">
        <v>12.217</v>
      </c>
      <c r="K32" s="271">
        <v>12.217</v>
      </c>
      <c r="L32" s="271">
        <v>12.217</v>
      </c>
      <c r="M32" s="271">
        <v>12.217</v>
      </c>
      <c r="N32" s="271">
        <v>12.217</v>
      </c>
      <c r="O32" s="271">
        <v>12.217</v>
      </c>
      <c r="P32" s="271">
        <v>12.217</v>
      </c>
      <c r="Q32" s="271">
        <v>12.217</v>
      </c>
      <c r="R32" s="271">
        <v>12.217</v>
      </c>
      <c r="S32" s="271">
        <v>12.217</v>
      </c>
      <c r="T32" s="271">
        <v>12.217</v>
      </c>
      <c r="U32" s="271">
        <v>12.217</v>
      </c>
      <c r="V32" s="284">
        <v>12.217</v>
      </c>
      <c r="W32" s="271">
        <v>12.217</v>
      </c>
      <c r="X32" s="271">
        <v>12.217</v>
      </c>
      <c r="Y32" s="284">
        <v>12.217</v>
      </c>
      <c r="Z32" s="271">
        <v>12.217</v>
      </c>
      <c r="AA32" s="271">
        <v>12.217</v>
      </c>
      <c r="AB32" s="290">
        <v>12.217</v>
      </c>
    </row>
    <row r="33" spans="1:28" ht="32.25" customHeight="1">
      <c r="A33" s="76" t="s">
        <v>84</v>
      </c>
      <c r="B33" s="11" t="s">
        <v>33</v>
      </c>
      <c r="D33" s="105" t="s">
        <v>85</v>
      </c>
      <c r="E33" s="106" t="s">
        <v>33</v>
      </c>
      <c r="F33" s="108" t="s">
        <v>83</v>
      </c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5">
        <f>SUM(J33:U33)/12</f>
        <v>0</v>
      </c>
      <c r="W33" s="274">
        <f>(J33+K33+L33)/3</f>
        <v>0</v>
      </c>
      <c r="X33" s="274">
        <f>(M33+N33+O33)/3</f>
        <v>0</v>
      </c>
      <c r="Y33" s="275">
        <f>(W33+X33)/2</f>
        <v>0</v>
      </c>
      <c r="Z33" s="274">
        <f>(P33+Q33+R33)/3</f>
        <v>0</v>
      </c>
      <c r="AA33" s="274">
        <f>(S33+T33+U33)/3</f>
        <v>0</v>
      </c>
      <c r="AB33" s="276">
        <f>(Z33+AA33)/2</f>
        <v>0</v>
      </c>
    </row>
    <row r="34" spans="1:28" ht="35.25" customHeight="1" thickBot="1">
      <c r="A34" s="76" t="s">
        <v>86</v>
      </c>
      <c r="B34" s="11" t="s">
        <v>77</v>
      </c>
      <c r="D34" s="109" t="s">
        <v>87</v>
      </c>
      <c r="E34" s="110" t="s">
        <v>77</v>
      </c>
      <c r="F34" s="111" t="s">
        <v>83</v>
      </c>
      <c r="G34" s="285">
        <v>12.217</v>
      </c>
      <c r="H34" s="285">
        <v>10.342</v>
      </c>
      <c r="I34" s="285">
        <v>12.217</v>
      </c>
      <c r="J34" s="285">
        <v>12.217</v>
      </c>
      <c r="K34" s="285">
        <v>12.217</v>
      </c>
      <c r="L34" s="285">
        <v>12.217</v>
      </c>
      <c r="M34" s="285">
        <v>12.217</v>
      </c>
      <c r="N34" s="285">
        <v>12.217</v>
      </c>
      <c r="O34" s="285">
        <v>12.217</v>
      </c>
      <c r="P34" s="285">
        <v>12.217</v>
      </c>
      <c r="Q34" s="285">
        <v>12.217</v>
      </c>
      <c r="R34" s="285">
        <v>12.217</v>
      </c>
      <c r="S34" s="285">
        <v>12.217</v>
      </c>
      <c r="T34" s="285">
        <v>12.217</v>
      </c>
      <c r="U34" s="285">
        <v>12.217</v>
      </c>
      <c r="V34" s="286">
        <v>12.217</v>
      </c>
      <c r="W34" s="285">
        <v>12.217</v>
      </c>
      <c r="X34" s="285">
        <v>12.217</v>
      </c>
      <c r="Y34" s="286">
        <v>12.217</v>
      </c>
      <c r="Z34" s="285">
        <v>12.217</v>
      </c>
      <c r="AA34" s="285">
        <v>12.217</v>
      </c>
      <c r="AB34" s="291">
        <v>12.217</v>
      </c>
    </row>
    <row r="35" spans="1:28" ht="15.75">
      <c r="A35" s="76"/>
      <c r="B35" s="11"/>
      <c r="D35" s="93"/>
      <c r="E35" s="112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ht="15.75">
      <c r="A36" s="76"/>
      <c r="B36" s="11"/>
      <c r="D36" s="93"/>
      <c r="E36" s="112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ht="20.25" customHeight="1" thickBot="1">
      <c r="A37" s="76"/>
      <c r="B37" s="11"/>
      <c r="D37" s="342" t="s">
        <v>88</v>
      </c>
      <c r="E37" s="342"/>
      <c r="F37" s="342"/>
      <c r="G37" s="342"/>
      <c r="H37" s="113"/>
      <c r="I37" s="113"/>
      <c r="J37" s="113"/>
      <c r="K37" s="94"/>
      <c r="L37" s="94"/>
      <c r="M37" s="343"/>
      <c r="N37" s="343"/>
      <c r="O37" s="343"/>
      <c r="P37" s="94" t="s">
        <v>241</v>
      </c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ht="20.25" customHeight="1">
      <c r="A38" s="76"/>
      <c r="B38" s="11"/>
      <c r="D38" s="113"/>
      <c r="E38" s="113"/>
      <c r="F38" s="113"/>
      <c r="G38" s="113"/>
      <c r="H38" s="113"/>
      <c r="I38" s="113"/>
      <c r="J38" s="113"/>
      <c r="K38" s="94"/>
      <c r="L38" s="94"/>
      <c r="M38" s="114"/>
      <c r="N38" s="114"/>
      <c r="O38" s="114"/>
      <c r="P38" s="96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ht="30" customHeight="1" thickBot="1">
      <c r="A39" s="76"/>
      <c r="B39" s="11"/>
      <c r="D39" s="342" t="s">
        <v>89</v>
      </c>
      <c r="E39" s="342"/>
      <c r="F39" s="342"/>
      <c r="G39" s="342"/>
      <c r="H39" s="342"/>
      <c r="I39" s="342"/>
      <c r="J39" s="342"/>
      <c r="K39" s="342"/>
      <c r="L39" s="94"/>
      <c r="M39" s="344"/>
      <c r="N39" s="344"/>
      <c r="O39" s="344"/>
      <c r="P39" s="94" t="s">
        <v>229</v>
      </c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</row>
    <row r="41" spans="1:10" ht="14.25">
      <c r="A41" s="76"/>
      <c r="B41" s="11"/>
      <c r="D41" s="83"/>
      <c r="E41" s="89"/>
      <c r="F41" s="20"/>
      <c r="G41" s="84"/>
      <c r="H41" s="84"/>
      <c r="I41" s="84"/>
      <c r="J41" s="84"/>
    </row>
    <row r="43" spans="4:10" ht="14.25">
      <c r="D43" s="341"/>
      <c r="E43" s="341"/>
      <c r="F43" s="341"/>
      <c r="G43" s="341"/>
      <c r="H43" s="88"/>
      <c r="I43" s="88"/>
      <c r="J43" s="88"/>
    </row>
    <row r="44" ht="14.25">
      <c r="E44" s="21"/>
    </row>
  </sheetData>
  <sheetProtection/>
  <mergeCells count="7">
    <mergeCell ref="D11:AB11"/>
    <mergeCell ref="D43:G43"/>
    <mergeCell ref="D37:G37"/>
    <mergeCell ref="M37:O37"/>
    <mergeCell ref="D39:K39"/>
    <mergeCell ref="M39:O39"/>
    <mergeCell ref="D20:AB20"/>
  </mergeCells>
  <dataValidations count="1">
    <dataValidation type="decimal" allowBlank="1" showInputMessage="1" showErrorMessage="1" sqref="G29:AB34 W19:AB19 W17:AB17 G12:AB16 G18:AB18 G27:AB27 G21:AB25">
      <formula1>-1000000000000000</formula1>
      <formula2>1000000000000000</formula2>
    </dataValidation>
  </dataValidations>
  <printOptions/>
  <pageMargins left="0.17" right="0.17" top="0.22" bottom="0.24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43">
      <selection activeCell="P47" sqref="P47"/>
    </sheetView>
  </sheetViews>
  <sheetFormatPr defaultColWidth="9.00390625" defaultRowHeight="12.75"/>
  <cols>
    <col min="1" max="1" width="5.25390625" style="5" customWidth="1"/>
    <col min="2" max="2" width="2.00390625" style="5" customWidth="1"/>
    <col min="3" max="3" width="4.75390625" style="5" customWidth="1"/>
    <col min="4" max="4" width="34.25390625" style="5" customWidth="1"/>
    <col min="5" max="5" width="3.00390625" style="5" hidden="1" customWidth="1"/>
    <col min="6" max="6" width="10.375" style="5" customWidth="1"/>
    <col min="7" max="7" width="10.875" style="5" customWidth="1"/>
    <col min="8" max="8" width="9.375" style="5" customWidth="1"/>
    <col min="9" max="9" width="13.125" style="5" customWidth="1"/>
    <col min="10" max="10" width="8.375" style="5" customWidth="1"/>
    <col min="11" max="11" width="8.625" style="5" customWidth="1"/>
    <col min="12" max="12" width="8.125" style="5" customWidth="1"/>
    <col min="13" max="13" width="8.625" style="5" customWidth="1"/>
    <col min="14" max="14" width="12.00390625" style="5" customWidth="1"/>
    <col min="15" max="15" width="8.875" style="5" customWidth="1"/>
    <col min="16" max="16" width="10.375" style="5" customWidth="1"/>
    <col min="17" max="16384" width="9.125" style="5" customWidth="1"/>
  </cols>
  <sheetData>
    <row r="1" spans="1:17" ht="15.7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7" t="s">
        <v>199</v>
      </c>
      <c r="Q1" s="176"/>
    </row>
    <row r="2" spans="1:17" ht="11.25" customHeight="1">
      <c r="A2" s="176"/>
      <c r="B2" s="176"/>
      <c r="C2" s="176"/>
      <c r="D2" s="178" t="s">
        <v>143</v>
      </c>
      <c r="E2" s="178"/>
      <c r="F2" s="178"/>
      <c r="G2" s="178"/>
      <c r="H2" s="178"/>
      <c r="I2" s="178"/>
      <c r="J2" s="178"/>
      <c r="K2" s="176"/>
      <c r="L2" s="176"/>
      <c r="M2" s="176"/>
      <c r="N2" s="176"/>
      <c r="O2" s="176"/>
      <c r="P2" s="176"/>
      <c r="Q2" s="176"/>
    </row>
    <row r="3" spans="1:17" ht="11.25" customHeight="1">
      <c r="A3" s="176"/>
      <c r="B3" s="176"/>
      <c r="C3" s="176"/>
      <c r="D3" s="178" t="s">
        <v>144</v>
      </c>
      <c r="E3" s="178"/>
      <c r="F3" s="178"/>
      <c r="G3" s="178"/>
      <c r="H3" s="178"/>
      <c r="I3" s="178"/>
      <c r="J3" s="178"/>
      <c r="K3" s="176"/>
      <c r="L3" s="176"/>
      <c r="M3" s="178"/>
      <c r="N3" s="176"/>
      <c r="O3" s="176"/>
      <c r="P3" s="176"/>
      <c r="Q3" s="176"/>
    </row>
    <row r="4" spans="1:17" ht="12" customHeight="1">
      <c r="A4" s="176"/>
      <c r="B4" s="176"/>
      <c r="C4" s="176"/>
      <c r="D4" s="178" t="s">
        <v>350</v>
      </c>
      <c r="E4" s="178"/>
      <c r="F4" s="178"/>
      <c r="G4" s="178"/>
      <c r="H4" s="178"/>
      <c r="I4" s="178"/>
      <c r="J4" s="178"/>
      <c r="K4" s="176"/>
      <c r="L4" s="176"/>
      <c r="M4" s="176"/>
      <c r="N4" s="176"/>
      <c r="O4" s="176"/>
      <c r="P4" s="177"/>
      <c r="Q4" s="176"/>
    </row>
    <row r="5" spans="1:17" ht="11.25" customHeight="1">
      <c r="A5" s="176"/>
      <c r="B5" s="176"/>
      <c r="C5" s="176"/>
      <c r="D5" s="178"/>
      <c r="E5" s="178"/>
      <c r="F5" s="178"/>
      <c r="G5" s="178"/>
      <c r="H5" s="178"/>
      <c r="I5" s="178"/>
      <c r="J5" s="178"/>
      <c r="K5" s="176"/>
      <c r="L5" s="176"/>
      <c r="M5" s="176"/>
      <c r="N5" s="176"/>
      <c r="O5" s="176"/>
      <c r="P5" s="176"/>
      <c r="Q5" s="176"/>
    </row>
    <row r="6" spans="1:17" ht="16.5" thickBo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</row>
    <row r="7" spans="1:17" ht="15" customHeight="1">
      <c r="A7" s="350" t="s">
        <v>145</v>
      </c>
      <c r="B7" s="352" t="s">
        <v>122</v>
      </c>
      <c r="C7" s="353"/>
      <c r="D7" s="353"/>
      <c r="E7" s="354"/>
      <c r="F7" s="363" t="s">
        <v>146</v>
      </c>
      <c r="G7" s="365" t="s">
        <v>351</v>
      </c>
      <c r="H7" s="366"/>
      <c r="I7" s="366"/>
      <c r="J7" s="366"/>
      <c r="K7" s="367"/>
      <c r="L7" s="365" t="s">
        <v>352</v>
      </c>
      <c r="M7" s="366"/>
      <c r="N7" s="366"/>
      <c r="O7" s="366"/>
      <c r="P7" s="367"/>
      <c r="Q7" s="176"/>
    </row>
    <row r="8" spans="1:17" ht="15" customHeight="1" thickBot="1">
      <c r="A8" s="351"/>
      <c r="B8" s="355"/>
      <c r="C8" s="356"/>
      <c r="D8" s="356"/>
      <c r="E8" s="357"/>
      <c r="F8" s="364"/>
      <c r="G8" s="179" t="s">
        <v>124</v>
      </c>
      <c r="H8" s="180" t="s">
        <v>125</v>
      </c>
      <c r="I8" s="180" t="s">
        <v>126</v>
      </c>
      <c r="J8" s="180" t="s">
        <v>127</v>
      </c>
      <c r="K8" s="181" t="s">
        <v>147</v>
      </c>
      <c r="L8" s="179" t="s">
        <v>124</v>
      </c>
      <c r="M8" s="180" t="s">
        <v>125</v>
      </c>
      <c r="N8" s="180" t="s">
        <v>126</v>
      </c>
      <c r="O8" s="180" t="s">
        <v>127</v>
      </c>
      <c r="P8" s="181" t="s">
        <v>147</v>
      </c>
      <c r="Q8" s="176"/>
    </row>
    <row r="9" spans="1:17" ht="16.5" thickBot="1">
      <c r="A9" s="182">
        <v>1</v>
      </c>
      <c r="B9" s="345">
        <v>2</v>
      </c>
      <c r="C9" s="346"/>
      <c r="D9" s="346"/>
      <c r="E9" s="347"/>
      <c r="F9" s="183">
        <v>3</v>
      </c>
      <c r="G9" s="184">
        <v>4</v>
      </c>
      <c r="H9" s="185">
        <v>5</v>
      </c>
      <c r="I9" s="185">
        <v>6</v>
      </c>
      <c r="J9" s="185">
        <v>7</v>
      </c>
      <c r="K9" s="183">
        <v>8</v>
      </c>
      <c r="L9" s="184">
        <v>14</v>
      </c>
      <c r="M9" s="185">
        <v>15</v>
      </c>
      <c r="N9" s="185">
        <v>16</v>
      </c>
      <c r="O9" s="185">
        <v>17</v>
      </c>
      <c r="P9" s="183">
        <v>18</v>
      </c>
      <c r="Q9" s="176"/>
    </row>
    <row r="10" spans="1:17" ht="44.25" customHeight="1">
      <c r="A10" s="204">
        <v>1</v>
      </c>
      <c r="B10" s="205"/>
      <c r="C10" s="348" t="s">
        <v>148</v>
      </c>
      <c r="D10" s="348"/>
      <c r="E10" s="206"/>
      <c r="F10" s="199" t="s">
        <v>149</v>
      </c>
      <c r="G10" s="186">
        <v>0</v>
      </c>
      <c r="H10" s="187"/>
      <c r="I10" s="187"/>
      <c r="J10" s="187"/>
      <c r="K10" s="188"/>
      <c r="L10" s="186">
        <v>0</v>
      </c>
      <c r="M10" s="187"/>
      <c r="N10" s="187"/>
      <c r="O10" s="187"/>
      <c r="P10" s="188"/>
      <c r="Q10" s="176"/>
    </row>
    <row r="11" spans="1:17" ht="44.25" customHeight="1">
      <c r="A11" s="207" t="s">
        <v>150</v>
      </c>
      <c r="B11" s="208"/>
      <c r="C11" s="349" t="s">
        <v>151</v>
      </c>
      <c r="D11" s="349"/>
      <c r="E11" s="209"/>
      <c r="F11" s="200" t="s">
        <v>149</v>
      </c>
      <c r="G11" s="189">
        <v>0</v>
      </c>
      <c r="H11" s="190"/>
      <c r="I11" s="190">
        <f>I12*I13*I14/1000000</f>
        <v>0.25099995503808004</v>
      </c>
      <c r="J11" s="190">
        <v>0</v>
      </c>
      <c r="K11" s="188">
        <v>0</v>
      </c>
      <c r="L11" s="189">
        <v>0</v>
      </c>
      <c r="M11" s="190"/>
      <c r="N11" s="190">
        <f>N12*N13*N14/1000000</f>
        <v>0.26611555785839996</v>
      </c>
      <c r="O11" s="190">
        <v>0</v>
      </c>
      <c r="P11" s="188">
        <v>0</v>
      </c>
      <c r="Q11" s="176"/>
    </row>
    <row r="12" spans="1:17" ht="44.25" customHeight="1">
      <c r="A12" s="207" t="s">
        <v>152</v>
      </c>
      <c r="B12" s="208"/>
      <c r="C12" s="349" t="s">
        <v>153</v>
      </c>
      <c r="D12" s="349"/>
      <c r="E12" s="209"/>
      <c r="F12" s="200" t="s">
        <v>154</v>
      </c>
      <c r="G12" s="189">
        <v>0</v>
      </c>
      <c r="H12" s="190"/>
      <c r="I12" s="190">
        <v>1.431597</v>
      </c>
      <c r="J12" s="190">
        <v>0</v>
      </c>
      <c r="K12" s="191">
        <v>0</v>
      </c>
      <c r="L12" s="189">
        <v>0</v>
      </c>
      <c r="M12" s="190"/>
      <c r="N12" s="190">
        <v>1.431597</v>
      </c>
      <c r="O12" s="190">
        <v>0</v>
      </c>
      <c r="P12" s="191">
        <v>0</v>
      </c>
      <c r="Q12" s="176"/>
    </row>
    <row r="13" spans="1:17" ht="44.25" customHeight="1">
      <c r="A13" s="207" t="s">
        <v>155</v>
      </c>
      <c r="B13" s="208"/>
      <c r="C13" s="349" t="s">
        <v>156</v>
      </c>
      <c r="D13" s="349"/>
      <c r="E13" s="209"/>
      <c r="F13" s="200" t="s">
        <v>83</v>
      </c>
      <c r="G13" s="189">
        <v>0</v>
      </c>
      <c r="H13" s="190"/>
      <c r="I13" s="190">
        <v>19.96</v>
      </c>
      <c r="J13" s="190">
        <v>0</v>
      </c>
      <c r="K13" s="191">
        <v>0</v>
      </c>
      <c r="L13" s="189">
        <v>0</v>
      </c>
      <c r="M13" s="190"/>
      <c r="N13" s="190">
        <v>21.22</v>
      </c>
      <c r="O13" s="190">
        <v>0</v>
      </c>
      <c r="P13" s="191">
        <v>0</v>
      </c>
      <c r="Q13" s="176"/>
    </row>
    <row r="14" spans="1:17" ht="44.25" customHeight="1">
      <c r="A14" s="207" t="s">
        <v>157</v>
      </c>
      <c r="B14" s="208"/>
      <c r="C14" s="349" t="s">
        <v>158</v>
      </c>
      <c r="D14" s="349"/>
      <c r="E14" s="209"/>
      <c r="F14" s="200" t="s">
        <v>159</v>
      </c>
      <c r="G14" s="189">
        <v>0</v>
      </c>
      <c r="H14" s="190"/>
      <c r="I14" s="190">
        <v>8784</v>
      </c>
      <c r="J14" s="190">
        <v>0</v>
      </c>
      <c r="K14" s="191">
        <v>0</v>
      </c>
      <c r="L14" s="189">
        <v>0</v>
      </c>
      <c r="M14" s="190"/>
      <c r="N14" s="190">
        <v>8760</v>
      </c>
      <c r="O14" s="190">
        <v>0</v>
      </c>
      <c r="P14" s="191">
        <v>0</v>
      </c>
      <c r="Q14" s="176"/>
    </row>
    <row r="15" spans="1:17" ht="44.25" customHeight="1">
      <c r="A15" s="207" t="s">
        <v>160</v>
      </c>
      <c r="B15" s="208"/>
      <c r="C15" s="349" t="s">
        <v>161</v>
      </c>
      <c r="D15" s="349"/>
      <c r="E15" s="209"/>
      <c r="F15" s="200" t="s">
        <v>149</v>
      </c>
      <c r="G15" s="189">
        <v>0</v>
      </c>
      <c r="H15" s="190"/>
      <c r="I15" s="190">
        <v>0</v>
      </c>
      <c r="J15" s="190">
        <v>0</v>
      </c>
      <c r="K15" s="191">
        <v>0</v>
      </c>
      <c r="L15" s="189">
        <v>0</v>
      </c>
      <c r="M15" s="190"/>
      <c r="N15" s="190">
        <v>0</v>
      </c>
      <c r="O15" s="190">
        <v>0</v>
      </c>
      <c r="P15" s="191">
        <v>0</v>
      </c>
      <c r="Q15" s="176"/>
    </row>
    <row r="16" spans="1:17" ht="44.25" customHeight="1">
      <c r="A16" s="207" t="s">
        <v>152</v>
      </c>
      <c r="B16" s="208"/>
      <c r="C16" s="349" t="s">
        <v>153</v>
      </c>
      <c r="D16" s="349"/>
      <c r="E16" s="209"/>
      <c r="F16" s="201" t="s">
        <v>162</v>
      </c>
      <c r="G16" s="189">
        <v>0</v>
      </c>
      <c r="H16" s="190"/>
      <c r="I16" s="190">
        <v>0</v>
      </c>
      <c r="J16" s="190">
        <v>0</v>
      </c>
      <c r="K16" s="191">
        <v>0</v>
      </c>
      <c r="L16" s="189">
        <v>0</v>
      </c>
      <c r="M16" s="190"/>
      <c r="N16" s="190">
        <v>0</v>
      </c>
      <c r="O16" s="190">
        <v>0</v>
      </c>
      <c r="P16" s="191">
        <v>0</v>
      </c>
      <c r="Q16" s="176"/>
    </row>
    <row r="17" spans="1:17" ht="44.25" customHeight="1">
      <c r="A17" s="207" t="s">
        <v>155</v>
      </c>
      <c r="B17" s="208"/>
      <c r="C17" s="349" t="s">
        <v>163</v>
      </c>
      <c r="D17" s="349"/>
      <c r="E17" s="209"/>
      <c r="F17" s="200" t="s">
        <v>164</v>
      </c>
      <c r="G17" s="189">
        <v>0</v>
      </c>
      <c r="H17" s="190"/>
      <c r="I17" s="190">
        <v>0</v>
      </c>
      <c r="J17" s="190">
        <v>0</v>
      </c>
      <c r="K17" s="191">
        <v>0</v>
      </c>
      <c r="L17" s="189">
        <v>0</v>
      </c>
      <c r="M17" s="190"/>
      <c r="N17" s="190">
        <v>0</v>
      </c>
      <c r="O17" s="190">
        <v>0</v>
      </c>
      <c r="P17" s="191">
        <v>0</v>
      </c>
      <c r="Q17" s="176"/>
    </row>
    <row r="18" spans="1:17" ht="44.25" customHeight="1">
      <c r="A18" s="207" t="s">
        <v>165</v>
      </c>
      <c r="B18" s="208"/>
      <c r="C18" s="349" t="s">
        <v>166</v>
      </c>
      <c r="D18" s="349"/>
      <c r="E18" s="209"/>
      <c r="F18" s="200" t="s">
        <v>149</v>
      </c>
      <c r="G18" s="189">
        <v>0</v>
      </c>
      <c r="H18" s="190"/>
      <c r="I18" s="190">
        <v>0</v>
      </c>
      <c r="J18" s="190">
        <v>0</v>
      </c>
      <c r="K18" s="191">
        <v>0</v>
      </c>
      <c r="L18" s="189">
        <v>0</v>
      </c>
      <c r="M18" s="190"/>
      <c r="N18" s="190">
        <v>0</v>
      </c>
      <c r="O18" s="190">
        <v>0</v>
      </c>
      <c r="P18" s="191">
        <v>0</v>
      </c>
      <c r="Q18" s="176"/>
    </row>
    <row r="19" spans="1:17" ht="44.25" customHeight="1">
      <c r="A19" s="207" t="s">
        <v>152</v>
      </c>
      <c r="B19" s="208"/>
      <c r="C19" s="349" t="s">
        <v>153</v>
      </c>
      <c r="D19" s="349"/>
      <c r="E19" s="209"/>
      <c r="F19" s="201" t="s">
        <v>162</v>
      </c>
      <c r="G19" s="189">
        <v>0</v>
      </c>
      <c r="H19" s="190"/>
      <c r="I19" s="190">
        <v>0</v>
      </c>
      <c r="J19" s="190">
        <v>0</v>
      </c>
      <c r="K19" s="191">
        <v>0</v>
      </c>
      <c r="L19" s="189">
        <v>0</v>
      </c>
      <c r="M19" s="190"/>
      <c r="N19" s="190">
        <v>0</v>
      </c>
      <c r="O19" s="190">
        <v>0</v>
      </c>
      <c r="P19" s="191">
        <v>0</v>
      </c>
      <c r="Q19" s="176"/>
    </row>
    <row r="20" spans="1:17" ht="44.25" customHeight="1">
      <c r="A20" s="207" t="s">
        <v>155</v>
      </c>
      <c r="B20" s="208"/>
      <c r="C20" s="349" t="s">
        <v>163</v>
      </c>
      <c r="D20" s="349"/>
      <c r="E20" s="209"/>
      <c r="F20" s="200" t="s">
        <v>164</v>
      </c>
      <c r="G20" s="189">
        <v>0</v>
      </c>
      <c r="H20" s="190"/>
      <c r="I20" s="190">
        <v>0</v>
      </c>
      <c r="J20" s="190">
        <v>0</v>
      </c>
      <c r="K20" s="191">
        <v>0</v>
      </c>
      <c r="L20" s="189">
        <v>0</v>
      </c>
      <c r="M20" s="190"/>
      <c r="N20" s="190">
        <v>0</v>
      </c>
      <c r="O20" s="190">
        <v>0</v>
      </c>
      <c r="P20" s="191">
        <v>0</v>
      </c>
      <c r="Q20" s="176"/>
    </row>
    <row r="21" spans="1:17" ht="44.25" customHeight="1">
      <c r="A21" s="207" t="s">
        <v>167</v>
      </c>
      <c r="B21" s="208"/>
      <c r="C21" s="349" t="s">
        <v>168</v>
      </c>
      <c r="D21" s="349"/>
      <c r="E21" s="209"/>
      <c r="F21" s="200" t="s">
        <v>149</v>
      </c>
      <c r="G21" s="189">
        <v>0</v>
      </c>
      <c r="H21" s="190"/>
      <c r="I21" s="190">
        <v>0</v>
      </c>
      <c r="J21" s="190">
        <v>0</v>
      </c>
      <c r="K21" s="191">
        <v>0</v>
      </c>
      <c r="L21" s="189">
        <v>0</v>
      </c>
      <c r="M21" s="190"/>
      <c r="N21" s="190">
        <v>0</v>
      </c>
      <c r="O21" s="190">
        <v>0</v>
      </c>
      <c r="P21" s="191">
        <v>0</v>
      </c>
      <c r="Q21" s="176"/>
    </row>
    <row r="22" spans="1:17" ht="44.25" customHeight="1">
      <c r="A22" s="358" t="s">
        <v>169</v>
      </c>
      <c r="B22" s="210"/>
      <c r="C22" s="361" t="s">
        <v>170</v>
      </c>
      <c r="D22" s="361"/>
      <c r="E22" s="211"/>
      <c r="F22" s="368"/>
      <c r="G22" s="189">
        <v>0</v>
      </c>
      <c r="H22" s="190"/>
      <c r="I22" s="190">
        <v>0</v>
      </c>
      <c r="J22" s="190">
        <v>0</v>
      </c>
      <c r="K22" s="191">
        <v>0</v>
      </c>
      <c r="L22" s="189">
        <v>0</v>
      </c>
      <c r="M22" s="190"/>
      <c r="N22" s="190">
        <v>0</v>
      </c>
      <c r="O22" s="190">
        <v>0</v>
      </c>
      <c r="P22" s="191">
        <v>0</v>
      </c>
      <c r="Q22" s="176"/>
    </row>
    <row r="23" spans="1:17" ht="44.25" customHeight="1">
      <c r="A23" s="359"/>
      <c r="B23" s="212"/>
      <c r="C23" s="213"/>
      <c r="D23" s="214" t="s">
        <v>171</v>
      </c>
      <c r="E23" s="215"/>
      <c r="F23" s="369"/>
      <c r="G23" s="189">
        <v>0</v>
      </c>
      <c r="H23" s="190"/>
      <c r="I23" s="190">
        <v>0</v>
      </c>
      <c r="J23" s="190">
        <v>0</v>
      </c>
      <c r="K23" s="191">
        <v>0</v>
      </c>
      <c r="L23" s="189">
        <v>0</v>
      </c>
      <c r="M23" s="190"/>
      <c r="N23" s="190">
        <v>0</v>
      </c>
      <c r="O23" s="190">
        <v>0</v>
      </c>
      <c r="P23" s="191">
        <v>0</v>
      </c>
      <c r="Q23" s="176"/>
    </row>
    <row r="24" spans="1:17" ht="44.25" customHeight="1">
      <c r="A24" s="360"/>
      <c r="B24" s="216"/>
      <c r="C24" s="217"/>
      <c r="D24" s="217"/>
      <c r="E24" s="218"/>
      <c r="F24" s="370"/>
      <c r="G24" s="189">
        <v>0</v>
      </c>
      <c r="H24" s="190"/>
      <c r="I24" s="190">
        <v>0</v>
      </c>
      <c r="J24" s="190">
        <v>0</v>
      </c>
      <c r="K24" s="191">
        <v>0</v>
      </c>
      <c r="L24" s="189">
        <v>0</v>
      </c>
      <c r="M24" s="190"/>
      <c r="N24" s="190">
        <v>0</v>
      </c>
      <c r="O24" s="190">
        <v>0</v>
      </c>
      <c r="P24" s="191">
        <v>0</v>
      </c>
      <c r="Q24" s="176"/>
    </row>
    <row r="25" spans="1:17" ht="44.25" customHeight="1">
      <c r="A25" s="207" t="s">
        <v>152</v>
      </c>
      <c r="B25" s="208"/>
      <c r="C25" s="349" t="s">
        <v>153</v>
      </c>
      <c r="D25" s="349"/>
      <c r="E25" s="209"/>
      <c r="F25" s="201" t="s">
        <v>162</v>
      </c>
      <c r="G25" s="189">
        <v>0</v>
      </c>
      <c r="H25" s="190"/>
      <c r="I25" s="190">
        <v>0</v>
      </c>
      <c r="J25" s="190">
        <v>0</v>
      </c>
      <c r="K25" s="191">
        <v>0</v>
      </c>
      <c r="L25" s="189">
        <v>0</v>
      </c>
      <c r="M25" s="190"/>
      <c r="N25" s="190">
        <v>0</v>
      </c>
      <c r="O25" s="190">
        <v>0</v>
      </c>
      <c r="P25" s="191">
        <v>0</v>
      </c>
      <c r="Q25" s="176"/>
    </row>
    <row r="26" spans="1:17" ht="44.25" customHeight="1">
      <c r="A26" s="207" t="s">
        <v>155</v>
      </c>
      <c r="B26" s="208"/>
      <c r="C26" s="349" t="s">
        <v>163</v>
      </c>
      <c r="D26" s="349"/>
      <c r="E26" s="209"/>
      <c r="F26" s="200" t="s">
        <v>164</v>
      </c>
      <c r="G26" s="189">
        <v>0</v>
      </c>
      <c r="H26" s="190"/>
      <c r="I26" s="190">
        <v>0</v>
      </c>
      <c r="J26" s="190">
        <v>0</v>
      </c>
      <c r="K26" s="191">
        <v>0</v>
      </c>
      <c r="L26" s="189">
        <v>0</v>
      </c>
      <c r="M26" s="190"/>
      <c r="N26" s="190">
        <v>0</v>
      </c>
      <c r="O26" s="190">
        <v>0</v>
      </c>
      <c r="P26" s="191">
        <v>0</v>
      </c>
      <c r="Q26" s="176"/>
    </row>
    <row r="27" spans="1:17" ht="44.25" customHeight="1">
      <c r="A27" s="358" t="s">
        <v>172</v>
      </c>
      <c r="B27" s="210"/>
      <c r="C27" s="361" t="s">
        <v>170</v>
      </c>
      <c r="D27" s="361"/>
      <c r="E27" s="211"/>
      <c r="F27" s="368"/>
      <c r="G27" s="189">
        <v>0</v>
      </c>
      <c r="H27" s="190"/>
      <c r="I27" s="190">
        <v>0</v>
      </c>
      <c r="J27" s="190">
        <v>0</v>
      </c>
      <c r="K27" s="191">
        <v>0</v>
      </c>
      <c r="L27" s="189">
        <v>0</v>
      </c>
      <c r="M27" s="190"/>
      <c r="N27" s="190">
        <v>0</v>
      </c>
      <c r="O27" s="190">
        <v>0</v>
      </c>
      <c r="P27" s="191">
        <v>0</v>
      </c>
      <c r="Q27" s="176"/>
    </row>
    <row r="28" spans="1:17" ht="26.25" customHeight="1">
      <c r="A28" s="359"/>
      <c r="B28" s="212"/>
      <c r="C28" s="213"/>
      <c r="D28" s="214" t="s">
        <v>171</v>
      </c>
      <c r="E28" s="215"/>
      <c r="F28" s="369"/>
      <c r="G28" s="189">
        <v>0</v>
      </c>
      <c r="H28" s="190"/>
      <c r="I28" s="190">
        <v>0</v>
      </c>
      <c r="J28" s="190">
        <v>0</v>
      </c>
      <c r="K28" s="191">
        <v>0</v>
      </c>
      <c r="L28" s="189">
        <v>0</v>
      </c>
      <c r="M28" s="190"/>
      <c r="N28" s="190">
        <v>0</v>
      </c>
      <c r="O28" s="190">
        <v>0</v>
      </c>
      <c r="P28" s="191">
        <v>0</v>
      </c>
      <c r="Q28" s="176"/>
    </row>
    <row r="29" spans="1:17" ht="20.25" customHeight="1">
      <c r="A29" s="360"/>
      <c r="B29" s="216"/>
      <c r="C29" s="217"/>
      <c r="D29" s="217"/>
      <c r="E29" s="218"/>
      <c r="F29" s="370"/>
      <c r="G29" s="189">
        <v>0</v>
      </c>
      <c r="H29" s="190"/>
      <c r="I29" s="190"/>
      <c r="J29" s="190"/>
      <c r="K29" s="191"/>
      <c r="L29" s="189">
        <v>0</v>
      </c>
      <c r="M29" s="190"/>
      <c r="N29" s="190"/>
      <c r="O29" s="190"/>
      <c r="P29" s="191"/>
      <c r="Q29" s="176"/>
    </row>
    <row r="30" spans="1:17" ht="44.25" customHeight="1">
      <c r="A30" s="207" t="s">
        <v>152</v>
      </c>
      <c r="B30" s="208"/>
      <c r="C30" s="349" t="s">
        <v>153</v>
      </c>
      <c r="D30" s="349"/>
      <c r="E30" s="209"/>
      <c r="F30" s="201" t="s">
        <v>162</v>
      </c>
      <c r="G30" s="189">
        <v>0</v>
      </c>
      <c r="H30" s="190"/>
      <c r="I30" s="190">
        <v>0</v>
      </c>
      <c r="J30" s="190">
        <v>0</v>
      </c>
      <c r="K30" s="191">
        <v>0</v>
      </c>
      <c r="L30" s="189">
        <v>0</v>
      </c>
      <c r="M30" s="190"/>
      <c r="N30" s="190">
        <v>0</v>
      </c>
      <c r="O30" s="190">
        <v>0</v>
      </c>
      <c r="P30" s="191">
        <v>0</v>
      </c>
      <c r="Q30" s="176"/>
    </row>
    <row r="31" spans="1:17" ht="44.25" customHeight="1">
      <c r="A31" s="207" t="s">
        <v>155</v>
      </c>
      <c r="B31" s="208"/>
      <c r="C31" s="349" t="s">
        <v>163</v>
      </c>
      <c r="D31" s="349"/>
      <c r="E31" s="209"/>
      <c r="F31" s="200" t="s">
        <v>164</v>
      </c>
      <c r="G31" s="189">
        <v>0</v>
      </c>
      <c r="H31" s="190"/>
      <c r="I31" s="190">
        <v>0</v>
      </c>
      <c r="J31" s="190">
        <v>0</v>
      </c>
      <c r="K31" s="191">
        <v>0</v>
      </c>
      <c r="L31" s="189">
        <v>0</v>
      </c>
      <c r="M31" s="190"/>
      <c r="N31" s="190">
        <v>0</v>
      </c>
      <c r="O31" s="190">
        <v>0</v>
      </c>
      <c r="P31" s="191">
        <v>0</v>
      </c>
      <c r="Q31" s="176"/>
    </row>
    <row r="32" spans="1:17" ht="44.25" customHeight="1">
      <c r="A32" s="207" t="s">
        <v>173</v>
      </c>
      <c r="B32" s="208"/>
      <c r="C32" s="349" t="s">
        <v>174</v>
      </c>
      <c r="D32" s="349"/>
      <c r="E32" s="209"/>
      <c r="F32" s="200"/>
      <c r="G32" s="189">
        <v>0</v>
      </c>
      <c r="H32" s="190"/>
      <c r="I32" s="190">
        <v>0</v>
      </c>
      <c r="J32" s="190">
        <v>0</v>
      </c>
      <c r="K32" s="191">
        <v>0</v>
      </c>
      <c r="L32" s="189">
        <v>0</v>
      </c>
      <c r="M32" s="190"/>
      <c r="N32" s="190">
        <v>0</v>
      </c>
      <c r="O32" s="190">
        <v>0</v>
      </c>
      <c r="P32" s="191">
        <v>0</v>
      </c>
      <c r="Q32" s="176"/>
    </row>
    <row r="33" spans="1:17" ht="44.25" customHeight="1">
      <c r="A33" s="207" t="s">
        <v>175</v>
      </c>
      <c r="B33" s="208"/>
      <c r="C33" s="349" t="s">
        <v>176</v>
      </c>
      <c r="D33" s="349"/>
      <c r="E33" s="209"/>
      <c r="F33" s="200" t="s">
        <v>149</v>
      </c>
      <c r="G33" s="189">
        <v>0</v>
      </c>
      <c r="H33" s="190"/>
      <c r="I33" s="190">
        <v>0</v>
      </c>
      <c r="J33" s="190">
        <v>0</v>
      </c>
      <c r="K33" s="191">
        <v>0</v>
      </c>
      <c r="L33" s="189">
        <v>0</v>
      </c>
      <c r="M33" s="190"/>
      <c r="N33" s="190">
        <v>0</v>
      </c>
      <c r="O33" s="190">
        <v>0</v>
      </c>
      <c r="P33" s="191">
        <v>0</v>
      </c>
      <c r="Q33" s="176"/>
    </row>
    <row r="34" spans="1:17" ht="44.25" customHeight="1">
      <c r="A34" s="207" t="s">
        <v>177</v>
      </c>
      <c r="B34" s="208"/>
      <c r="C34" s="349" t="s">
        <v>178</v>
      </c>
      <c r="D34" s="349"/>
      <c r="E34" s="209"/>
      <c r="F34" s="200" t="s">
        <v>149</v>
      </c>
      <c r="G34" s="189">
        <v>0</v>
      </c>
      <c r="H34" s="190"/>
      <c r="I34" s="190">
        <v>0</v>
      </c>
      <c r="J34" s="190">
        <v>0</v>
      </c>
      <c r="K34" s="191">
        <v>0</v>
      </c>
      <c r="L34" s="189">
        <v>0</v>
      </c>
      <c r="M34" s="190"/>
      <c r="N34" s="190">
        <v>0</v>
      </c>
      <c r="O34" s="190">
        <v>0</v>
      </c>
      <c r="P34" s="191">
        <v>0</v>
      </c>
      <c r="Q34" s="176"/>
    </row>
    <row r="35" spans="1:17" ht="44.25" customHeight="1">
      <c r="A35" s="207" t="s">
        <v>152</v>
      </c>
      <c r="B35" s="208"/>
      <c r="C35" s="349" t="s">
        <v>153</v>
      </c>
      <c r="D35" s="349"/>
      <c r="E35" s="209"/>
      <c r="F35" s="201" t="s">
        <v>179</v>
      </c>
      <c r="G35" s="189">
        <v>0</v>
      </c>
      <c r="H35" s="190"/>
      <c r="I35" s="190">
        <v>0</v>
      </c>
      <c r="J35" s="190">
        <v>0</v>
      </c>
      <c r="K35" s="191">
        <v>0</v>
      </c>
      <c r="L35" s="189">
        <v>0</v>
      </c>
      <c r="M35" s="190"/>
      <c r="N35" s="190">
        <v>0</v>
      </c>
      <c r="O35" s="190">
        <v>0</v>
      </c>
      <c r="P35" s="191">
        <v>0</v>
      </c>
      <c r="Q35" s="176"/>
    </row>
    <row r="36" spans="1:17" ht="44.25" customHeight="1">
      <c r="A36" s="207" t="s">
        <v>155</v>
      </c>
      <c r="B36" s="208"/>
      <c r="C36" s="349" t="s">
        <v>180</v>
      </c>
      <c r="D36" s="349"/>
      <c r="E36" s="209"/>
      <c r="F36" s="200" t="s">
        <v>181</v>
      </c>
      <c r="G36" s="189">
        <v>0</v>
      </c>
      <c r="H36" s="190"/>
      <c r="I36" s="190">
        <v>0</v>
      </c>
      <c r="J36" s="190">
        <v>0</v>
      </c>
      <c r="K36" s="191">
        <v>0</v>
      </c>
      <c r="L36" s="189">
        <v>0</v>
      </c>
      <c r="M36" s="190"/>
      <c r="N36" s="190">
        <v>0</v>
      </c>
      <c r="O36" s="190">
        <v>0</v>
      </c>
      <c r="P36" s="191">
        <v>0</v>
      </c>
      <c r="Q36" s="176"/>
    </row>
    <row r="37" spans="1:17" ht="44.25" customHeight="1">
      <c r="A37" s="207" t="s">
        <v>182</v>
      </c>
      <c r="B37" s="208"/>
      <c r="C37" s="349" t="s">
        <v>174</v>
      </c>
      <c r="D37" s="349"/>
      <c r="E37" s="209"/>
      <c r="F37" s="200" t="s">
        <v>149</v>
      </c>
      <c r="G37" s="189">
        <v>0</v>
      </c>
      <c r="H37" s="190"/>
      <c r="I37" s="190">
        <v>0</v>
      </c>
      <c r="J37" s="190">
        <v>0</v>
      </c>
      <c r="K37" s="191">
        <v>0</v>
      </c>
      <c r="L37" s="189">
        <v>0</v>
      </c>
      <c r="M37" s="190"/>
      <c r="N37" s="190">
        <v>0</v>
      </c>
      <c r="O37" s="190">
        <v>0</v>
      </c>
      <c r="P37" s="191">
        <v>0</v>
      </c>
      <c r="Q37" s="176"/>
    </row>
    <row r="38" spans="1:17" ht="44.25" customHeight="1">
      <c r="A38" s="207" t="s">
        <v>183</v>
      </c>
      <c r="B38" s="208"/>
      <c r="C38" s="349" t="s">
        <v>184</v>
      </c>
      <c r="D38" s="349"/>
      <c r="E38" s="209"/>
      <c r="F38" s="200"/>
      <c r="G38" s="189">
        <v>0</v>
      </c>
      <c r="H38" s="190"/>
      <c r="I38" s="190">
        <f>I39+I43</f>
        <v>1.721255</v>
      </c>
      <c r="J38" s="190">
        <f>J39+J43</f>
        <v>1.844677</v>
      </c>
      <c r="K38" s="191">
        <f>I38+J38</f>
        <v>3.565932</v>
      </c>
      <c r="L38" s="189">
        <v>0</v>
      </c>
      <c r="M38" s="190"/>
      <c r="N38" s="190">
        <f>N39+N43</f>
        <v>1.6769750386883073</v>
      </c>
      <c r="O38" s="190">
        <f>O39+O43</f>
        <v>1.6694631224020362</v>
      </c>
      <c r="P38" s="191">
        <f>N38+O38</f>
        <v>3.3464381610903438</v>
      </c>
      <c r="Q38" s="176"/>
    </row>
    <row r="39" spans="1:18" ht="44.25" customHeight="1">
      <c r="A39" s="207" t="s">
        <v>185</v>
      </c>
      <c r="B39" s="208"/>
      <c r="C39" s="349" t="s">
        <v>186</v>
      </c>
      <c r="D39" s="349"/>
      <c r="E39" s="209"/>
      <c r="F39" s="200"/>
      <c r="G39" s="189">
        <v>0</v>
      </c>
      <c r="H39" s="190"/>
      <c r="I39" s="190">
        <f>'табл.1,4'!$U$19</f>
        <v>1.721255</v>
      </c>
      <c r="J39" s="190">
        <v>0</v>
      </c>
      <c r="K39" s="191">
        <f>I39+J39</f>
        <v>1.721255</v>
      </c>
      <c r="L39" s="189">
        <v>0</v>
      </c>
      <c r="M39" s="190"/>
      <c r="N39" s="190">
        <f>'табл.1,4'!U42</f>
        <v>1.6769750386883073</v>
      </c>
      <c r="O39" s="190">
        <v>0</v>
      </c>
      <c r="P39" s="191">
        <f>N39</f>
        <v>1.6769750386883073</v>
      </c>
      <c r="Q39" s="176"/>
      <c r="R39" s="91"/>
    </row>
    <row r="40" spans="1:17" ht="44.25" customHeight="1">
      <c r="A40" s="207" t="s">
        <v>152</v>
      </c>
      <c r="B40" s="208"/>
      <c r="C40" s="349" t="s">
        <v>153</v>
      </c>
      <c r="D40" s="349"/>
      <c r="E40" s="209"/>
      <c r="F40" s="200" t="s">
        <v>41</v>
      </c>
      <c r="G40" s="189">
        <v>0</v>
      </c>
      <c r="H40" s="190"/>
      <c r="I40" s="190">
        <v>0</v>
      </c>
      <c r="J40" s="190">
        <v>0</v>
      </c>
      <c r="K40" s="191">
        <v>0</v>
      </c>
      <c r="L40" s="189">
        <v>0</v>
      </c>
      <c r="M40" s="190"/>
      <c r="N40" s="190">
        <v>0</v>
      </c>
      <c r="O40" s="190">
        <v>0</v>
      </c>
      <c r="P40" s="191">
        <v>0</v>
      </c>
      <c r="Q40" s="176"/>
    </row>
    <row r="41" spans="1:17" ht="44.25" customHeight="1">
      <c r="A41" s="207" t="s">
        <v>155</v>
      </c>
      <c r="B41" s="208"/>
      <c r="C41" s="349" t="s">
        <v>187</v>
      </c>
      <c r="D41" s="349"/>
      <c r="E41" s="209"/>
      <c r="F41" s="200"/>
      <c r="G41" s="189">
        <v>0</v>
      </c>
      <c r="H41" s="190"/>
      <c r="I41" s="190">
        <v>0</v>
      </c>
      <c r="J41" s="190">
        <v>0</v>
      </c>
      <c r="K41" s="191">
        <v>0</v>
      </c>
      <c r="L41" s="189">
        <v>0</v>
      </c>
      <c r="M41" s="190"/>
      <c r="N41" s="190">
        <v>0</v>
      </c>
      <c r="O41" s="190">
        <v>0</v>
      </c>
      <c r="P41" s="191">
        <v>0</v>
      </c>
      <c r="Q41" s="176"/>
    </row>
    <row r="42" spans="1:17" ht="44.25" customHeight="1">
      <c r="A42" s="207" t="s">
        <v>157</v>
      </c>
      <c r="B42" s="208"/>
      <c r="C42" s="349" t="s">
        <v>188</v>
      </c>
      <c r="D42" s="349"/>
      <c r="E42" s="209"/>
      <c r="F42" s="200" t="s">
        <v>149</v>
      </c>
      <c r="G42" s="189">
        <v>0</v>
      </c>
      <c r="H42" s="190"/>
      <c r="I42" s="190">
        <f>'табл.1,4'!$U$15</f>
        <v>35.915335</v>
      </c>
      <c r="J42" s="190">
        <f>'табл.1,4'!$V$15</f>
        <v>16.281009</v>
      </c>
      <c r="K42" s="191">
        <f>I42</f>
        <v>35.915335</v>
      </c>
      <c r="L42" s="189">
        <v>0</v>
      </c>
      <c r="M42" s="190"/>
      <c r="N42" s="190">
        <f>'табл.1,4'!$U$38</f>
        <v>35.695509550623825</v>
      </c>
      <c r="O42" s="190">
        <f>'табл.1,4'!$V$38</f>
        <v>16.105463511935522</v>
      </c>
      <c r="P42" s="191">
        <f>N42</f>
        <v>35.695509550623825</v>
      </c>
      <c r="Q42" s="176"/>
    </row>
    <row r="43" spans="1:17" ht="44.25" customHeight="1">
      <c r="A43" s="207" t="s">
        <v>189</v>
      </c>
      <c r="B43" s="208"/>
      <c r="C43" s="349" t="s">
        <v>190</v>
      </c>
      <c r="D43" s="349"/>
      <c r="E43" s="209"/>
      <c r="F43" s="200" t="s">
        <v>149</v>
      </c>
      <c r="G43" s="189">
        <v>0</v>
      </c>
      <c r="H43" s="190"/>
      <c r="I43" s="190">
        <v>0</v>
      </c>
      <c r="J43" s="190">
        <f>'табл.1,4'!$V$19-J47</f>
        <v>1.844677</v>
      </c>
      <c r="K43" s="191">
        <f>I43+J43</f>
        <v>1.844677</v>
      </c>
      <c r="L43" s="189">
        <v>0</v>
      </c>
      <c r="M43" s="190"/>
      <c r="N43" s="190">
        <v>0</v>
      </c>
      <c r="O43" s="190">
        <f>'табл.1,4'!V42-O47</f>
        <v>1.6694631224020362</v>
      </c>
      <c r="P43" s="191">
        <f>O43</f>
        <v>1.6694631224020362</v>
      </c>
      <c r="Q43" s="176"/>
    </row>
    <row r="44" spans="1:17" ht="44.25" customHeight="1">
      <c r="A44" s="207" t="s">
        <v>152</v>
      </c>
      <c r="B44" s="208"/>
      <c r="C44" s="349" t="s">
        <v>153</v>
      </c>
      <c r="D44" s="349"/>
      <c r="E44" s="209"/>
      <c r="F44" s="201" t="s">
        <v>191</v>
      </c>
      <c r="G44" s="189">
        <v>0</v>
      </c>
      <c r="H44" s="190"/>
      <c r="I44" s="190">
        <v>0</v>
      </c>
      <c r="J44" s="190">
        <v>0</v>
      </c>
      <c r="K44" s="191">
        <v>0</v>
      </c>
      <c r="L44" s="189">
        <v>0</v>
      </c>
      <c r="M44" s="190"/>
      <c r="N44" s="190">
        <v>0</v>
      </c>
      <c r="O44" s="190">
        <v>0</v>
      </c>
      <c r="P44" s="191">
        <v>0</v>
      </c>
      <c r="Q44" s="176"/>
    </row>
    <row r="45" spans="1:17" ht="44.25" customHeight="1">
      <c r="A45" s="207" t="s">
        <v>155</v>
      </c>
      <c r="B45" s="208"/>
      <c r="C45" s="349" t="s">
        <v>192</v>
      </c>
      <c r="D45" s="349"/>
      <c r="E45" s="209"/>
      <c r="F45" s="200" t="s">
        <v>181</v>
      </c>
      <c r="G45" s="189">
        <v>0</v>
      </c>
      <c r="H45" s="190"/>
      <c r="I45" s="190">
        <v>0</v>
      </c>
      <c r="J45" s="190">
        <v>18.545</v>
      </c>
      <c r="K45" s="191">
        <v>0</v>
      </c>
      <c r="L45" s="189">
        <v>0</v>
      </c>
      <c r="M45" s="190"/>
      <c r="N45" s="190">
        <v>0</v>
      </c>
      <c r="O45" s="190">
        <v>18.545</v>
      </c>
      <c r="P45" s="191">
        <v>0</v>
      </c>
      <c r="Q45" s="176"/>
    </row>
    <row r="46" spans="1:17" ht="44.25" customHeight="1">
      <c r="A46" s="207" t="s">
        <v>193</v>
      </c>
      <c r="B46" s="208"/>
      <c r="C46" s="349" t="s">
        <v>194</v>
      </c>
      <c r="D46" s="349"/>
      <c r="E46" s="209"/>
      <c r="F46" s="200" t="s">
        <v>149</v>
      </c>
      <c r="G46" s="189">
        <v>0</v>
      </c>
      <c r="H46" s="190"/>
      <c r="I46" s="190">
        <v>0</v>
      </c>
      <c r="J46" s="190">
        <v>0</v>
      </c>
      <c r="K46" s="191">
        <v>0</v>
      </c>
      <c r="L46" s="189">
        <v>0</v>
      </c>
      <c r="M46" s="190"/>
      <c r="N46" s="190">
        <v>0</v>
      </c>
      <c r="O46" s="190">
        <v>0</v>
      </c>
      <c r="P46" s="191">
        <v>0</v>
      </c>
      <c r="Q46" s="176"/>
    </row>
    <row r="47" spans="1:17" ht="44.25" customHeight="1" thickBot="1">
      <c r="A47" s="219" t="s">
        <v>195</v>
      </c>
      <c r="B47" s="220"/>
      <c r="C47" s="371" t="s">
        <v>196</v>
      </c>
      <c r="D47" s="371"/>
      <c r="E47" s="221"/>
      <c r="F47" s="202" t="s">
        <v>149</v>
      </c>
      <c r="G47" s="192">
        <v>0</v>
      </c>
      <c r="H47" s="193"/>
      <c r="I47" s="193">
        <v>0</v>
      </c>
      <c r="J47" s="194">
        <v>0.02</v>
      </c>
      <c r="K47" s="194">
        <v>0.02</v>
      </c>
      <c r="L47" s="192">
        <v>0</v>
      </c>
      <c r="M47" s="193"/>
      <c r="N47" s="193">
        <v>0</v>
      </c>
      <c r="O47" s="194">
        <v>0.02</v>
      </c>
      <c r="P47" s="194">
        <f>O47</f>
        <v>0.02</v>
      </c>
      <c r="Q47" s="176"/>
    </row>
    <row r="48" spans="1:17" s="72" customFormat="1" ht="44.25" customHeight="1" thickBot="1">
      <c r="A48" s="222" t="s">
        <v>197</v>
      </c>
      <c r="B48" s="223"/>
      <c r="C48" s="372" t="s">
        <v>198</v>
      </c>
      <c r="D48" s="372"/>
      <c r="E48" s="224"/>
      <c r="F48" s="203" t="s">
        <v>149</v>
      </c>
      <c r="G48" s="195">
        <v>0</v>
      </c>
      <c r="H48" s="196"/>
      <c r="I48" s="196">
        <f>I39</f>
        <v>1.721255</v>
      </c>
      <c r="J48" s="196">
        <f>J47+J43</f>
        <v>1.864677</v>
      </c>
      <c r="K48" s="197">
        <f>K47+K43+K39</f>
        <v>3.5859319999999997</v>
      </c>
      <c r="L48" s="195">
        <v>0</v>
      </c>
      <c r="M48" s="196"/>
      <c r="N48" s="196">
        <f>N39</f>
        <v>1.6769750386883073</v>
      </c>
      <c r="O48" s="196">
        <f>O47+O43</f>
        <v>1.6894631224020362</v>
      </c>
      <c r="P48" s="197">
        <f>N48+O48</f>
        <v>3.3664381610903433</v>
      </c>
      <c r="Q48" s="176"/>
    </row>
    <row r="49" spans="1:17" ht="15.75">
      <c r="A49" s="176"/>
      <c r="B49" s="176"/>
      <c r="C49" s="176"/>
      <c r="D49" s="176"/>
      <c r="E49" s="176"/>
      <c r="F49" s="176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76"/>
    </row>
    <row r="50" spans="1:16" ht="20.25" customHeight="1">
      <c r="A50" s="178" t="s">
        <v>260</v>
      </c>
      <c r="B50" s="67"/>
      <c r="C50" s="67"/>
      <c r="D50" s="67"/>
      <c r="E50" s="67"/>
      <c r="F50" s="67"/>
      <c r="G50" s="240"/>
      <c r="H50" s="240"/>
      <c r="I50" s="240"/>
      <c r="J50" s="6"/>
      <c r="K50" s="6"/>
      <c r="L50" s="6"/>
      <c r="M50" s="6"/>
      <c r="N50" s="6"/>
      <c r="O50" s="6"/>
      <c r="P50" s="6"/>
    </row>
    <row r="51" spans="1:16" ht="12.75" customHeight="1">
      <c r="A51" s="69"/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</row>
  </sheetData>
  <sheetProtection/>
  <mergeCells count="46">
    <mergeCell ref="C25:D25"/>
    <mergeCell ref="C26:D26"/>
    <mergeCell ref="C12:D12"/>
    <mergeCell ref="C38:D38"/>
    <mergeCell ref="C16:D16"/>
    <mergeCell ref="C17:D17"/>
    <mergeCell ref="C31:D31"/>
    <mergeCell ref="C32:D32"/>
    <mergeCell ref="C33:D33"/>
    <mergeCell ref="C34:D34"/>
    <mergeCell ref="C36:D36"/>
    <mergeCell ref="C37:D37"/>
    <mergeCell ref="C35:D35"/>
    <mergeCell ref="C48:D48"/>
    <mergeCell ref="C42:D42"/>
    <mergeCell ref="C43:D43"/>
    <mergeCell ref="C44:D44"/>
    <mergeCell ref="C45:D45"/>
    <mergeCell ref="C46:D46"/>
    <mergeCell ref="C18:D18"/>
    <mergeCell ref="C19:D19"/>
    <mergeCell ref="C20:D20"/>
    <mergeCell ref="C21:D21"/>
    <mergeCell ref="C22:D22"/>
    <mergeCell ref="C47:D47"/>
    <mergeCell ref="C39:D39"/>
    <mergeCell ref="C40:D40"/>
    <mergeCell ref="C41:D41"/>
    <mergeCell ref="C30:D30"/>
    <mergeCell ref="A27:A29"/>
    <mergeCell ref="C27:D27"/>
    <mergeCell ref="A22:A24"/>
    <mergeCell ref="B51:P51"/>
    <mergeCell ref="F7:F8"/>
    <mergeCell ref="G7:K7"/>
    <mergeCell ref="L7:P7"/>
    <mergeCell ref="C11:D11"/>
    <mergeCell ref="F27:F29"/>
    <mergeCell ref="F22:F24"/>
    <mergeCell ref="B9:E9"/>
    <mergeCell ref="C10:D10"/>
    <mergeCell ref="C13:D13"/>
    <mergeCell ref="C14:D14"/>
    <mergeCell ref="C15:D15"/>
    <mergeCell ref="A7:A8"/>
    <mergeCell ref="B7:E8"/>
  </mergeCells>
  <printOptions/>
  <pageMargins left="0.984251968503937" right="0.3937007874015748" top="0.1968503937007874" bottom="0.1968503937007874" header="0" footer="0.1968503937007874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zoomScalePageLayoutView="0" workbookViewId="0" topLeftCell="A22">
      <selection activeCell="R43" sqref="R43"/>
    </sheetView>
  </sheetViews>
  <sheetFormatPr defaultColWidth="9.00390625" defaultRowHeight="12.75"/>
  <cols>
    <col min="1" max="1" width="4.75390625" style="68" bestFit="1" customWidth="1"/>
    <col min="2" max="2" width="29.75390625" style="68" customWidth="1"/>
    <col min="3" max="3" width="7.75390625" style="68" customWidth="1"/>
    <col min="4" max="4" width="4.625" style="68" customWidth="1"/>
    <col min="5" max="5" width="4.75390625" style="68" customWidth="1"/>
    <col min="6" max="6" width="7.125" style="68" customWidth="1"/>
    <col min="7" max="8" width="7.625" style="68" customWidth="1"/>
    <col min="9" max="9" width="4.125" style="68" customWidth="1"/>
    <col min="10" max="10" width="4.75390625" style="68" customWidth="1"/>
    <col min="11" max="11" width="7.25390625" style="68" customWidth="1"/>
    <col min="12" max="13" width="8.00390625" style="68" customWidth="1"/>
    <col min="14" max="15" width="4.875" style="68" customWidth="1"/>
    <col min="16" max="16" width="7.00390625" style="68" customWidth="1"/>
    <col min="17" max="17" width="8.00390625" style="68" customWidth="1"/>
    <col min="18" max="18" width="8.625" style="68" customWidth="1"/>
    <col min="19" max="20" width="4.75390625" style="68" customWidth="1"/>
    <col min="21" max="21" width="9.00390625" style="68" customWidth="1"/>
    <col min="22" max="22" width="8.00390625" style="68" customWidth="1"/>
    <col min="23" max="23" width="7.875" style="68" customWidth="1"/>
    <col min="24" max="24" width="5.00390625" style="68" customWidth="1"/>
    <col min="25" max="25" width="5.125" style="68" customWidth="1"/>
    <col min="26" max="26" width="7.00390625" style="68" customWidth="1"/>
    <col min="27" max="27" width="7.25390625" style="68" customWidth="1"/>
    <col min="28" max="28" width="7.75390625" style="68" customWidth="1"/>
    <col min="29" max="29" width="5.00390625" style="68" customWidth="1"/>
    <col min="30" max="30" width="5.375" style="68" customWidth="1"/>
    <col min="31" max="31" width="6.375" style="68" customWidth="1"/>
    <col min="32" max="32" width="7.25390625" style="68" customWidth="1"/>
    <col min="33" max="16384" width="9.125" style="68" customWidth="1"/>
  </cols>
  <sheetData>
    <row r="1" spans="1:32" ht="15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6" t="s">
        <v>200</v>
      </c>
    </row>
    <row r="2" spans="1:32" ht="15.75">
      <c r="A2" s="380" t="s">
        <v>201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</row>
    <row r="3" spans="1:32" ht="15.75">
      <c r="A3" s="380" t="s">
        <v>321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</row>
    <row r="4" spans="1:32" ht="15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</row>
    <row r="5" spans="1:32" ht="12.75" customHeight="1">
      <c r="A5" s="117"/>
      <c r="B5" s="118"/>
      <c r="C5" s="119"/>
      <c r="D5" s="117"/>
      <c r="E5" s="117"/>
      <c r="F5" s="117"/>
      <c r="G5" s="117"/>
      <c r="H5" s="117"/>
      <c r="I5" s="117"/>
      <c r="J5" s="117"/>
      <c r="K5" s="120"/>
      <c r="L5" s="120"/>
      <c r="M5" s="117"/>
      <c r="N5" s="120"/>
      <c r="O5" s="117"/>
      <c r="P5" s="117"/>
      <c r="Q5" s="117"/>
      <c r="R5" s="119"/>
      <c r="S5" s="117"/>
      <c r="T5" s="117"/>
      <c r="U5" s="117"/>
      <c r="V5" s="117"/>
      <c r="W5" s="117"/>
      <c r="X5" s="117"/>
      <c r="Y5" s="117"/>
      <c r="Z5" s="120"/>
      <c r="AA5" s="120"/>
      <c r="AB5" s="117"/>
      <c r="AC5" s="120"/>
      <c r="AD5" s="117"/>
      <c r="AE5" s="117"/>
      <c r="AF5" s="117"/>
    </row>
    <row r="6" spans="1:32" ht="17.25" customHeight="1" thickBot="1">
      <c r="A6" s="117"/>
      <c r="B6" s="121"/>
      <c r="C6" s="119"/>
      <c r="D6" s="117"/>
      <c r="E6" s="117"/>
      <c r="F6" s="117"/>
      <c r="G6" s="117"/>
      <c r="H6" s="119"/>
      <c r="I6" s="117"/>
      <c r="J6" s="117"/>
      <c r="K6" s="117"/>
      <c r="L6" s="117"/>
      <c r="M6" s="117"/>
      <c r="N6" s="117"/>
      <c r="O6" s="117"/>
      <c r="P6" s="117"/>
      <c r="Q6" s="117"/>
      <c r="R6" s="119"/>
      <c r="S6" s="117"/>
      <c r="T6" s="117"/>
      <c r="U6" s="117"/>
      <c r="V6" s="117"/>
      <c r="W6" s="119"/>
      <c r="X6" s="117"/>
      <c r="Y6" s="117"/>
      <c r="Z6" s="117"/>
      <c r="AA6" s="117"/>
      <c r="AB6" s="117"/>
      <c r="AC6" s="117"/>
      <c r="AD6" s="117"/>
      <c r="AE6" s="117"/>
      <c r="AF6" s="117"/>
    </row>
    <row r="7" spans="1:32" ht="12.75" customHeight="1">
      <c r="A7" s="376" t="s">
        <v>121</v>
      </c>
      <c r="B7" s="378" t="s">
        <v>122</v>
      </c>
      <c r="C7" s="373" t="s">
        <v>308</v>
      </c>
      <c r="D7" s="374"/>
      <c r="E7" s="374"/>
      <c r="F7" s="374"/>
      <c r="G7" s="375"/>
      <c r="H7" s="373" t="s">
        <v>309</v>
      </c>
      <c r="I7" s="374"/>
      <c r="J7" s="374"/>
      <c r="K7" s="374"/>
      <c r="L7" s="375"/>
      <c r="M7" s="373" t="s">
        <v>310</v>
      </c>
      <c r="N7" s="374"/>
      <c r="O7" s="374"/>
      <c r="P7" s="374"/>
      <c r="Q7" s="375"/>
      <c r="R7" s="373" t="s">
        <v>318</v>
      </c>
      <c r="S7" s="374"/>
      <c r="T7" s="374"/>
      <c r="U7" s="374"/>
      <c r="V7" s="375"/>
      <c r="W7" s="373" t="s">
        <v>319</v>
      </c>
      <c r="X7" s="374"/>
      <c r="Y7" s="374"/>
      <c r="Z7" s="374"/>
      <c r="AA7" s="375"/>
      <c r="AB7" s="373" t="s">
        <v>320</v>
      </c>
      <c r="AC7" s="374"/>
      <c r="AD7" s="374"/>
      <c r="AE7" s="374"/>
      <c r="AF7" s="375"/>
    </row>
    <row r="8" spans="1:32" ht="25.5" customHeight="1" thickBot="1">
      <c r="A8" s="377"/>
      <c r="B8" s="379"/>
      <c r="C8" s="122" t="s">
        <v>123</v>
      </c>
      <c r="D8" s="123" t="s">
        <v>124</v>
      </c>
      <c r="E8" s="123" t="s">
        <v>125</v>
      </c>
      <c r="F8" s="123" t="s">
        <v>126</v>
      </c>
      <c r="G8" s="124" t="s">
        <v>127</v>
      </c>
      <c r="H8" s="122" t="s">
        <v>123</v>
      </c>
      <c r="I8" s="123" t="s">
        <v>124</v>
      </c>
      <c r="J8" s="123" t="s">
        <v>125</v>
      </c>
      <c r="K8" s="123" t="s">
        <v>126</v>
      </c>
      <c r="L8" s="124" t="s">
        <v>127</v>
      </c>
      <c r="M8" s="122" t="s">
        <v>123</v>
      </c>
      <c r="N8" s="123" t="s">
        <v>124</v>
      </c>
      <c r="O8" s="123" t="s">
        <v>125</v>
      </c>
      <c r="P8" s="123" t="s">
        <v>126</v>
      </c>
      <c r="Q8" s="124" t="s">
        <v>127</v>
      </c>
      <c r="R8" s="122" t="s">
        <v>123</v>
      </c>
      <c r="S8" s="123" t="s">
        <v>124</v>
      </c>
      <c r="T8" s="123" t="s">
        <v>125</v>
      </c>
      <c r="U8" s="123" t="s">
        <v>126</v>
      </c>
      <c r="V8" s="124" t="s">
        <v>127</v>
      </c>
      <c r="W8" s="122" t="s">
        <v>123</v>
      </c>
      <c r="X8" s="123" t="s">
        <v>124</v>
      </c>
      <c r="Y8" s="123" t="s">
        <v>125</v>
      </c>
      <c r="Z8" s="123" t="s">
        <v>126</v>
      </c>
      <c r="AA8" s="124" t="s">
        <v>127</v>
      </c>
      <c r="AB8" s="122" t="s">
        <v>123</v>
      </c>
      <c r="AC8" s="123" t="s">
        <v>124</v>
      </c>
      <c r="AD8" s="123" t="s">
        <v>125</v>
      </c>
      <c r="AE8" s="123" t="s">
        <v>126</v>
      </c>
      <c r="AF8" s="124" t="s">
        <v>127</v>
      </c>
    </row>
    <row r="9" spans="1:32" ht="12.75" customHeight="1">
      <c r="A9" s="125">
        <v>1</v>
      </c>
      <c r="B9" s="126">
        <v>2</v>
      </c>
      <c r="C9" s="127">
        <v>3</v>
      </c>
      <c r="D9" s="128">
        <v>4</v>
      </c>
      <c r="E9" s="129">
        <v>5</v>
      </c>
      <c r="F9" s="128">
        <v>6</v>
      </c>
      <c r="G9" s="126">
        <v>7</v>
      </c>
      <c r="H9" s="127">
        <v>8</v>
      </c>
      <c r="I9" s="128">
        <v>9</v>
      </c>
      <c r="J9" s="129">
        <v>10</v>
      </c>
      <c r="K9" s="128">
        <v>11</v>
      </c>
      <c r="L9" s="126">
        <v>12</v>
      </c>
      <c r="M9" s="127">
        <v>13</v>
      </c>
      <c r="N9" s="128">
        <v>14</v>
      </c>
      <c r="O9" s="129">
        <v>15</v>
      </c>
      <c r="P9" s="128">
        <v>16</v>
      </c>
      <c r="Q9" s="126">
        <v>17</v>
      </c>
      <c r="R9" s="127">
        <v>18</v>
      </c>
      <c r="S9" s="128">
        <v>19</v>
      </c>
      <c r="T9" s="129">
        <v>20</v>
      </c>
      <c r="U9" s="128">
        <v>21</v>
      </c>
      <c r="V9" s="126">
        <v>22</v>
      </c>
      <c r="W9" s="127">
        <v>23</v>
      </c>
      <c r="X9" s="128">
        <v>24</v>
      </c>
      <c r="Y9" s="129">
        <v>25</v>
      </c>
      <c r="Z9" s="128">
        <v>26</v>
      </c>
      <c r="AA9" s="126">
        <v>27</v>
      </c>
      <c r="AB9" s="127">
        <v>28</v>
      </c>
      <c r="AC9" s="128">
        <v>29</v>
      </c>
      <c r="AD9" s="129">
        <v>30</v>
      </c>
      <c r="AE9" s="128">
        <v>31</v>
      </c>
      <c r="AF9" s="126">
        <v>32</v>
      </c>
    </row>
    <row r="10" spans="1:32" ht="12.75" customHeight="1">
      <c r="A10" s="130" t="s">
        <v>128</v>
      </c>
      <c r="B10" s="131" t="s">
        <v>129</v>
      </c>
      <c r="C10" s="132">
        <v>39.109</v>
      </c>
      <c r="D10" s="133"/>
      <c r="E10" s="133"/>
      <c r="F10" s="132">
        <v>39.109</v>
      </c>
      <c r="G10" s="134"/>
      <c r="H10" s="132">
        <f>C10/2</f>
        <v>19.5545</v>
      </c>
      <c r="I10" s="133"/>
      <c r="J10" s="133"/>
      <c r="K10" s="133">
        <f>F10/2</f>
        <v>19.5545</v>
      </c>
      <c r="L10" s="134"/>
      <c r="M10" s="132">
        <v>19.5545</v>
      </c>
      <c r="N10" s="133"/>
      <c r="O10" s="133"/>
      <c r="P10" s="133">
        <v>19.5545</v>
      </c>
      <c r="Q10" s="134"/>
      <c r="R10" s="132">
        <v>35.915335</v>
      </c>
      <c r="S10" s="133"/>
      <c r="T10" s="133"/>
      <c r="U10" s="132">
        <v>35.915335</v>
      </c>
      <c r="V10" s="134"/>
      <c r="W10" s="132">
        <v>16.134002</v>
      </c>
      <c r="X10" s="133"/>
      <c r="Y10" s="133"/>
      <c r="Z10" s="133">
        <v>16.134002</v>
      </c>
      <c r="AA10" s="134"/>
      <c r="AB10" s="132">
        <f>R10-W10</f>
        <v>19.781333</v>
      </c>
      <c r="AC10" s="133"/>
      <c r="AD10" s="133"/>
      <c r="AE10" s="133">
        <f>U10-Z10</f>
        <v>19.781333</v>
      </c>
      <c r="AF10" s="134"/>
    </row>
    <row r="11" spans="1:32" ht="12.75" customHeight="1">
      <c r="A11" s="135" t="s">
        <v>130</v>
      </c>
      <c r="B11" s="136" t="s">
        <v>131</v>
      </c>
      <c r="C11" s="132">
        <v>39.109</v>
      </c>
      <c r="D11" s="137"/>
      <c r="E11" s="137"/>
      <c r="F11" s="132">
        <v>39.109</v>
      </c>
      <c r="G11" s="138"/>
      <c r="H11" s="132">
        <f>C11/2</f>
        <v>19.5545</v>
      </c>
      <c r="I11" s="137"/>
      <c r="J11" s="137"/>
      <c r="K11" s="137">
        <f>F11/2</f>
        <v>19.5545</v>
      </c>
      <c r="L11" s="139">
        <v>11.515</v>
      </c>
      <c r="M11" s="132">
        <v>19.5545</v>
      </c>
      <c r="N11" s="137"/>
      <c r="O11" s="137"/>
      <c r="P11" s="137">
        <v>19.5545</v>
      </c>
      <c r="Q11" s="139">
        <v>11.515</v>
      </c>
      <c r="R11" s="132">
        <v>35.915335</v>
      </c>
      <c r="S11" s="137"/>
      <c r="T11" s="137"/>
      <c r="U11" s="132">
        <v>35.915335</v>
      </c>
      <c r="V11" s="138">
        <f>U15-U19-U22</f>
        <v>16.281009</v>
      </c>
      <c r="W11" s="132">
        <v>16.134002</v>
      </c>
      <c r="X11" s="137"/>
      <c r="Y11" s="137"/>
      <c r="Z11" s="137">
        <v>16.134002</v>
      </c>
      <c r="AA11" s="139">
        <f>Z15-Z19-Z22</f>
        <v>8.322512</v>
      </c>
      <c r="AB11" s="132">
        <f>R11-W11</f>
        <v>19.781333</v>
      </c>
      <c r="AC11" s="137"/>
      <c r="AD11" s="137"/>
      <c r="AE11" s="137">
        <f>U11-Z11</f>
        <v>19.781333</v>
      </c>
      <c r="AF11" s="139">
        <f>V11-AA11</f>
        <v>7.958497000000001</v>
      </c>
    </row>
    <row r="12" spans="1:32" ht="12.75" customHeight="1">
      <c r="A12" s="135"/>
      <c r="B12" s="136" t="s">
        <v>132</v>
      </c>
      <c r="C12" s="132"/>
      <c r="D12" s="137"/>
      <c r="E12" s="137"/>
      <c r="F12" s="137"/>
      <c r="G12" s="138"/>
      <c r="H12" s="132"/>
      <c r="I12" s="137"/>
      <c r="J12" s="137"/>
      <c r="K12" s="137"/>
      <c r="L12" s="138"/>
      <c r="M12" s="132"/>
      <c r="N12" s="137"/>
      <c r="O12" s="137"/>
      <c r="P12" s="137"/>
      <c r="Q12" s="138"/>
      <c r="R12" s="132"/>
      <c r="S12" s="137"/>
      <c r="T12" s="137"/>
      <c r="U12" s="137"/>
      <c r="V12" s="138"/>
      <c r="W12" s="132"/>
      <c r="X12" s="137"/>
      <c r="Y12" s="137"/>
      <c r="Z12" s="137"/>
      <c r="AA12" s="138"/>
      <c r="AB12" s="132"/>
      <c r="AC12" s="137"/>
      <c r="AD12" s="137"/>
      <c r="AE12" s="137"/>
      <c r="AF12" s="138"/>
    </row>
    <row r="13" spans="1:32" ht="12.75" customHeight="1">
      <c r="A13" s="135"/>
      <c r="B13" s="136" t="s">
        <v>124</v>
      </c>
      <c r="C13" s="132"/>
      <c r="D13" s="140"/>
      <c r="E13" s="137"/>
      <c r="F13" s="137"/>
      <c r="G13" s="138"/>
      <c r="H13" s="132"/>
      <c r="I13" s="140"/>
      <c r="J13" s="137"/>
      <c r="K13" s="137"/>
      <c r="L13" s="138"/>
      <c r="M13" s="132"/>
      <c r="N13" s="140"/>
      <c r="O13" s="137"/>
      <c r="P13" s="137"/>
      <c r="Q13" s="138"/>
      <c r="R13" s="132"/>
      <c r="S13" s="140"/>
      <c r="T13" s="137"/>
      <c r="U13" s="137"/>
      <c r="V13" s="138"/>
      <c r="W13" s="132"/>
      <c r="X13" s="140"/>
      <c r="Y13" s="137"/>
      <c r="Z13" s="137"/>
      <c r="AA13" s="138"/>
      <c r="AB13" s="132"/>
      <c r="AC13" s="140"/>
      <c r="AD13" s="137"/>
      <c r="AE13" s="137"/>
      <c r="AF13" s="138"/>
    </row>
    <row r="14" spans="1:32" ht="12.75" customHeight="1">
      <c r="A14" s="135"/>
      <c r="B14" s="136" t="s">
        <v>125</v>
      </c>
      <c r="C14" s="132"/>
      <c r="D14" s="137"/>
      <c r="E14" s="137"/>
      <c r="F14" s="137"/>
      <c r="G14" s="138"/>
      <c r="H14" s="132"/>
      <c r="I14" s="137"/>
      <c r="J14" s="137"/>
      <c r="K14" s="137"/>
      <c r="L14" s="138"/>
      <c r="M14" s="132"/>
      <c r="N14" s="137"/>
      <c r="O14" s="137"/>
      <c r="P14" s="137"/>
      <c r="Q14" s="138"/>
      <c r="R14" s="132"/>
      <c r="S14" s="137"/>
      <c r="T14" s="137"/>
      <c r="U14" s="137"/>
      <c r="V14" s="138"/>
      <c r="W14" s="132"/>
      <c r="X14" s="137"/>
      <c r="Y14" s="137"/>
      <c r="Z14" s="137"/>
      <c r="AA14" s="138"/>
      <c r="AB14" s="132"/>
      <c r="AC14" s="137"/>
      <c r="AD14" s="137"/>
      <c r="AE14" s="137"/>
      <c r="AF14" s="138"/>
    </row>
    <row r="15" spans="1:32" ht="12.75" customHeight="1">
      <c r="A15" s="135"/>
      <c r="B15" s="136" t="s">
        <v>133</v>
      </c>
      <c r="C15" s="132">
        <v>39.109</v>
      </c>
      <c r="D15" s="137"/>
      <c r="E15" s="137"/>
      <c r="F15" s="132">
        <v>39.109</v>
      </c>
      <c r="G15" s="258">
        <v>36.7016</v>
      </c>
      <c r="H15" s="132">
        <f>C15/2</f>
        <v>19.5545</v>
      </c>
      <c r="I15" s="137"/>
      <c r="J15" s="137"/>
      <c r="K15" s="137">
        <f>F15/2</f>
        <v>19.5545</v>
      </c>
      <c r="L15" s="139">
        <f>G15/2</f>
        <v>18.3508</v>
      </c>
      <c r="M15" s="132">
        <v>19.5545</v>
      </c>
      <c r="N15" s="137"/>
      <c r="O15" s="137"/>
      <c r="P15" s="137">
        <v>19.5545</v>
      </c>
      <c r="Q15" s="139">
        <v>18.3508</v>
      </c>
      <c r="R15" s="132">
        <v>35.915335</v>
      </c>
      <c r="S15" s="137"/>
      <c r="T15" s="137"/>
      <c r="U15" s="132">
        <v>35.915335</v>
      </c>
      <c r="V15" s="139">
        <f>V11</f>
        <v>16.281009</v>
      </c>
      <c r="W15" s="132">
        <v>16.134002</v>
      </c>
      <c r="X15" s="137"/>
      <c r="Y15" s="137"/>
      <c r="Z15" s="137">
        <v>16.134002</v>
      </c>
      <c r="AA15" s="139">
        <f>AA11</f>
        <v>8.322512</v>
      </c>
      <c r="AB15" s="132">
        <f>R15-W15</f>
        <v>19.781333</v>
      </c>
      <c r="AC15" s="137"/>
      <c r="AD15" s="137"/>
      <c r="AE15" s="137">
        <f>U15-Z15</f>
        <v>19.781333</v>
      </c>
      <c r="AF15" s="139">
        <f>V15-AA15</f>
        <v>7.958497000000001</v>
      </c>
    </row>
    <row r="16" spans="1:32" ht="12.75" customHeight="1">
      <c r="A16" s="135" t="s">
        <v>134</v>
      </c>
      <c r="B16" s="136" t="s">
        <v>135</v>
      </c>
      <c r="C16" s="132"/>
      <c r="D16" s="137"/>
      <c r="E16" s="137"/>
      <c r="F16" s="137"/>
      <c r="G16" s="138"/>
      <c r="H16" s="132"/>
      <c r="I16" s="137"/>
      <c r="J16" s="137"/>
      <c r="K16" s="137"/>
      <c r="L16" s="138"/>
      <c r="M16" s="132"/>
      <c r="N16" s="137"/>
      <c r="O16" s="137"/>
      <c r="P16" s="137"/>
      <c r="Q16" s="138"/>
      <c r="R16" s="132"/>
      <c r="S16" s="137"/>
      <c r="T16" s="137"/>
      <c r="U16" s="137"/>
      <c r="V16" s="138"/>
      <c r="W16" s="132"/>
      <c r="X16" s="137"/>
      <c r="Y16" s="137"/>
      <c r="Z16" s="137"/>
      <c r="AA16" s="138"/>
      <c r="AB16" s="132"/>
      <c r="AC16" s="137"/>
      <c r="AD16" s="137"/>
      <c r="AE16" s="137"/>
      <c r="AF16" s="138"/>
    </row>
    <row r="17" spans="1:32" ht="12.75" customHeight="1">
      <c r="A17" s="135" t="s">
        <v>202</v>
      </c>
      <c r="B17" s="136" t="s">
        <v>136</v>
      </c>
      <c r="C17" s="132"/>
      <c r="D17" s="137"/>
      <c r="E17" s="137"/>
      <c r="F17" s="137"/>
      <c r="G17" s="138"/>
      <c r="H17" s="132"/>
      <c r="I17" s="137"/>
      <c r="J17" s="137"/>
      <c r="K17" s="137"/>
      <c r="L17" s="138"/>
      <c r="M17" s="132"/>
      <c r="N17" s="137"/>
      <c r="O17" s="137"/>
      <c r="P17" s="137"/>
      <c r="Q17" s="138"/>
      <c r="R17" s="132"/>
      <c r="S17" s="137"/>
      <c r="T17" s="137"/>
      <c r="U17" s="137"/>
      <c r="V17" s="138"/>
      <c r="W17" s="132"/>
      <c r="X17" s="137"/>
      <c r="Y17" s="137"/>
      <c r="Z17" s="137"/>
      <c r="AA17" s="138"/>
      <c r="AB17" s="132"/>
      <c r="AC17" s="137"/>
      <c r="AD17" s="137"/>
      <c r="AE17" s="137"/>
      <c r="AF17" s="138"/>
    </row>
    <row r="18" spans="1:32" ht="12.75" customHeight="1">
      <c r="A18" s="135" t="s">
        <v>137</v>
      </c>
      <c r="B18" s="136" t="s">
        <v>203</v>
      </c>
      <c r="C18" s="132"/>
      <c r="D18" s="137"/>
      <c r="E18" s="137"/>
      <c r="F18" s="137"/>
      <c r="G18" s="138"/>
      <c r="H18" s="132"/>
      <c r="I18" s="137"/>
      <c r="J18" s="137"/>
      <c r="K18" s="137"/>
      <c r="L18" s="138"/>
      <c r="M18" s="132"/>
      <c r="N18" s="137"/>
      <c r="O18" s="137"/>
      <c r="P18" s="137"/>
      <c r="Q18" s="138"/>
      <c r="R18" s="132"/>
      <c r="S18" s="137"/>
      <c r="T18" s="137"/>
      <c r="U18" s="137"/>
      <c r="V18" s="138"/>
      <c r="W18" s="132"/>
      <c r="X18" s="137"/>
      <c r="Y18" s="137"/>
      <c r="Z18" s="137"/>
      <c r="AA18" s="138"/>
      <c r="AB18" s="132"/>
      <c r="AC18" s="137"/>
      <c r="AD18" s="137"/>
      <c r="AE18" s="137"/>
      <c r="AF18" s="138"/>
    </row>
    <row r="19" spans="1:32" ht="12.75" customHeight="1">
      <c r="A19" s="130" t="s">
        <v>204</v>
      </c>
      <c r="B19" s="131" t="s">
        <v>138</v>
      </c>
      <c r="C19" s="132">
        <v>6.2614</v>
      </c>
      <c r="D19" s="133"/>
      <c r="E19" s="133"/>
      <c r="F19" s="133">
        <v>2.4074</v>
      </c>
      <c r="G19" s="134">
        <v>3.854</v>
      </c>
      <c r="H19" s="132">
        <f>C19/2</f>
        <v>3.1307</v>
      </c>
      <c r="I19" s="133"/>
      <c r="J19" s="133"/>
      <c r="K19" s="133">
        <f>F19/2</f>
        <v>1.2037</v>
      </c>
      <c r="L19" s="134">
        <f>G19/2</f>
        <v>1.927</v>
      </c>
      <c r="M19" s="132">
        <v>3.1307</v>
      </c>
      <c r="N19" s="133"/>
      <c r="O19" s="133"/>
      <c r="P19" s="133">
        <v>1.2037</v>
      </c>
      <c r="Q19" s="134">
        <v>1.927</v>
      </c>
      <c r="R19" s="132">
        <f>U19+V19</f>
        <v>3.5859319999999997</v>
      </c>
      <c r="S19" s="133"/>
      <c r="T19" s="133"/>
      <c r="U19" s="133">
        <v>1.721255</v>
      </c>
      <c r="V19" s="134">
        <v>1.864677</v>
      </c>
      <c r="W19" s="132">
        <f>Z19+AA19</f>
        <v>1.79867</v>
      </c>
      <c r="X19" s="133"/>
      <c r="Y19" s="133"/>
      <c r="Z19" s="133">
        <v>0.780038</v>
      </c>
      <c r="AA19" s="134">
        <v>1.018632</v>
      </c>
      <c r="AB19" s="132">
        <f>R19-W19</f>
        <v>1.7872619999999997</v>
      </c>
      <c r="AC19" s="133"/>
      <c r="AD19" s="133"/>
      <c r="AE19" s="133">
        <f>U19-Z19</f>
        <v>0.941217</v>
      </c>
      <c r="AF19" s="134">
        <f>V19-AA19</f>
        <v>0.8460449999999999</v>
      </c>
    </row>
    <row r="20" spans="1:32" ht="12.75" customHeight="1">
      <c r="A20" s="135"/>
      <c r="B20" s="136" t="s">
        <v>205</v>
      </c>
      <c r="C20" s="141">
        <v>0.1601</v>
      </c>
      <c r="D20" s="142"/>
      <c r="E20" s="142"/>
      <c r="F20" s="142">
        <v>0.0617000000000001</v>
      </c>
      <c r="G20" s="143">
        <v>0.1049</v>
      </c>
      <c r="H20" s="141">
        <v>0.1601</v>
      </c>
      <c r="I20" s="142"/>
      <c r="J20" s="142"/>
      <c r="K20" s="142">
        <v>0.0617000000000001</v>
      </c>
      <c r="L20" s="143">
        <v>0.1049</v>
      </c>
      <c r="M20" s="141">
        <v>0.1601</v>
      </c>
      <c r="N20" s="142"/>
      <c r="O20" s="142"/>
      <c r="P20" s="142">
        <v>0.0617000000000001</v>
      </c>
      <c r="Q20" s="143">
        <v>0.1049</v>
      </c>
      <c r="R20" s="141">
        <f>R19/R15</f>
        <v>0.09984403598073079</v>
      </c>
      <c r="S20" s="142"/>
      <c r="T20" s="142"/>
      <c r="U20" s="142">
        <f>U19/U15</f>
        <v>0.04792534999325497</v>
      </c>
      <c r="V20" s="143">
        <f>V19/V15</f>
        <v>0.11453080088586647</v>
      </c>
      <c r="W20" s="141">
        <f>W19/W15</f>
        <v>0.11148318935376357</v>
      </c>
      <c r="X20" s="142"/>
      <c r="Y20" s="142"/>
      <c r="Z20" s="142">
        <f>Z19/Z15</f>
        <v>0.04834745898754692</v>
      </c>
      <c r="AA20" s="143">
        <f>AA19/AA15</f>
        <v>0.12239477696157122</v>
      </c>
      <c r="AB20" s="141">
        <f>AB19/AB15</f>
        <v>0.09035093843271329</v>
      </c>
      <c r="AC20" s="142"/>
      <c r="AD20" s="142"/>
      <c r="AE20" s="142">
        <f>AE19/AE15</f>
        <v>0.04758107049711968</v>
      </c>
      <c r="AF20" s="143">
        <f>AF19/AF15</f>
        <v>0.10630713311822569</v>
      </c>
    </row>
    <row r="21" spans="1:32" ht="25.5" customHeight="1">
      <c r="A21" s="130" t="s">
        <v>206</v>
      </c>
      <c r="B21" s="144" t="s">
        <v>207</v>
      </c>
      <c r="C21" s="132">
        <v>0</v>
      </c>
      <c r="D21" s="133"/>
      <c r="E21" s="133"/>
      <c r="F21" s="133"/>
      <c r="G21" s="134"/>
      <c r="H21" s="132"/>
      <c r="I21" s="133"/>
      <c r="J21" s="133"/>
      <c r="K21" s="133"/>
      <c r="L21" s="134"/>
      <c r="M21" s="132"/>
      <c r="N21" s="133"/>
      <c r="O21" s="133"/>
      <c r="P21" s="133"/>
      <c r="Q21" s="134"/>
      <c r="R21" s="132"/>
      <c r="S21" s="133"/>
      <c r="T21" s="133"/>
      <c r="U21" s="133"/>
      <c r="V21" s="134"/>
      <c r="W21" s="132">
        <v>0</v>
      </c>
      <c r="X21" s="133"/>
      <c r="Y21" s="133"/>
      <c r="Z21" s="133"/>
      <c r="AA21" s="134"/>
      <c r="AB21" s="132"/>
      <c r="AC21" s="133"/>
      <c r="AD21" s="133"/>
      <c r="AE21" s="133"/>
      <c r="AF21" s="134"/>
    </row>
    <row r="22" spans="1:32" ht="12.75" customHeight="1">
      <c r="A22" s="130" t="s">
        <v>208</v>
      </c>
      <c r="B22" s="131" t="s">
        <v>209</v>
      </c>
      <c r="C22" s="132">
        <v>32.848</v>
      </c>
      <c r="D22" s="133"/>
      <c r="E22" s="133"/>
      <c r="F22" s="133"/>
      <c r="G22" s="134">
        <v>32.848</v>
      </c>
      <c r="H22" s="132">
        <f>C22/2</f>
        <v>16.424</v>
      </c>
      <c r="I22" s="133"/>
      <c r="J22" s="133"/>
      <c r="K22" s="133"/>
      <c r="L22" s="134">
        <f>G22/2</f>
        <v>16.424</v>
      </c>
      <c r="M22" s="132">
        <v>16.424</v>
      </c>
      <c r="N22" s="133"/>
      <c r="O22" s="133"/>
      <c r="P22" s="133"/>
      <c r="Q22" s="134">
        <v>16.424</v>
      </c>
      <c r="R22" s="132">
        <f>U22+V22</f>
        <v>32.329423</v>
      </c>
      <c r="S22" s="133"/>
      <c r="T22" s="133"/>
      <c r="U22" s="133">
        <f>U23+U28</f>
        <v>17.913071</v>
      </c>
      <c r="V22" s="134">
        <f>V23</f>
        <v>14.416352</v>
      </c>
      <c r="W22" s="132">
        <f>Z22+AA22</f>
        <v>14.335332000000001</v>
      </c>
      <c r="X22" s="133"/>
      <c r="Y22" s="133"/>
      <c r="Z22" s="133">
        <f>Z23+Z28</f>
        <v>7.031452</v>
      </c>
      <c r="AA22" s="134">
        <f>AA23</f>
        <v>7.30388</v>
      </c>
      <c r="AB22" s="132">
        <f>R22-W22</f>
        <v>17.994090999999997</v>
      </c>
      <c r="AC22" s="133"/>
      <c r="AD22" s="133"/>
      <c r="AE22" s="133">
        <f>U22-Z22</f>
        <v>10.881618999999999</v>
      </c>
      <c r="AF22" s="134">
        <f>V22-AA22</f>
        <v>7.1124719999999995</v>
      </c>
    </row>
    <row r="23" spans="1:32" ht="25.5" customHeight="1">
      <c r="A23" s="135" t="s">
        <v>139</v>
      </c>
      <c r="B23" s="136" t="s">
        <v>210</v>
      </c>
      <c r="C23" s="145"/>
      <c r="D23" s="137"/>
      <c r="E23" s="137"/>
      <c r="F23" s="137"/>
      <c r="G23" s="138">
        <v>20.672</v>
      </c>
      <c r="H23" s="145"/>
      <c r="I23" s="137"/>
      <c r="J23" s="137"/>
      <c r="K23" s="137"/>
      <c r="L23" s="138">
        <f>G23/2</f>
        <v>10.336</v>
      </c>
      <c r="M23" s="145"/>
      <c r="N23" s="137"/>
      <c r="O23" s="137"/>
      <c r="P23" s="137"/>
      <c r="Q23" s="138">
        <v>10.336</v>
      </c>
      <c r="R23" s="145"/>
      <c r="S23" s="137"/>
      <c r="T23" s="137"/>
      <c r="U23" s="137">
        <v>4.823351</v>
      </c>
      <c r="V23" s="138">
        <v>14.416352</v>
      </c>
      <c r="W23" s="145"/>
      <c r="X23" s="137"/>
      <c r="Y23" s="137"/>
      <c r="Z23" s="137">
        <v>2.439712</v>
      </c>
      <c r="AA23" s="138">
        <v>7.30388</v>
      </c>
      <c r="AB23" s="145"/>
      <c r="AC23" s="137"/>
      <c r="AD23" s="137"/>
      <c r="AE23" s="137">
        <f>U23-Z23</f>
        <v>2.3836389999999996</v>
      </c>
      <c r="AF23" s="138">
        <f>V23-AA23</f>
        <v>7.1124719999999995</v>
      </c>
    </row>
    <row r="24" spans="1:32" ht="12.75" customHeight="1">
      <c r="A24" s="135"/>
      <c r="B24" s="136" t="s">
        <v>211</v>
      </c>
      <c r="C24" s="145"/>
      <c r="D24" s="137"/>
      <c r="E24" s="137"/>
      <c r="F24" s="137"/>
      <c r="G24" s="138"/>
      <c r="H24" s="145"/>
      <c r="I24" s="137"/>
      <c r="J24" s="137"/>
      <c r="K24" s="137"/>
      <c r="L24" s="138"/>
      <c r="M24" s="145"/>
      <c r="N24" s="137"/>
      <c r="O24" s="137"/>
      <c r="P24" s="137"/>
      <c r="Q24" s="138"/>
      <c r="R24" s="145"/>
      <c r="S24" s="137"/>
      <c r="T24" s="137"/>
      <c r="U24" s="137"/>
      <c r="V24" s="138"/>
      <c r="W24" s="145"/>
      <c r="X24" s="137"/>
      <c r="Y24" s="137"/>
      <c r="Z24" s="137"/>
      <c r="AA24" s="138"/>
      <c r="AB24" s="145"/>
      <c r="AC24" s="137"/>
      <c r="AD24" s="137"/>
      <c r="AE24" s="137"/>
      <c r="AF24" s="138"/>
    </row>
    <row r="25" spans="1:32" ht="25.5">
      <c r="A25" s="135"/>
      <c r="B25" s="136" t="s">
        <v>212</v>
      </c>
      <c r="C25" s="145"/>
      <c r="D25" s="137"/>
      <c r="E25" s="137"/>
      <c r="F25" s="137"/>
      <c r="G25" s="138"/>
      <c r="H25" s="145"/>
      <c r="I25" s="137"/>
      <c r="J25" s="137"/>
      <c r="K25" s="137"/>
      <c r="L25" s="138"/>
      <c r="M25" s="145"/>
      <c r="N25" s="137"/>
      <c r="O25" s="137"/>
      <c r="P25" s="137"/>
      <c r="Q25" s="138"/>
      <c r="R25" s="145"/>
      <c r="S25" s="137"/>
      <c r="T25" s="137"/>
      <c r="U25" s="137"/>
      <c r="V25" s="138"/>
      <c r="W25" s="145"/>
      <c r="X25" s="137"/>
      <c r="Y25" s="137"/>
      <c r="Z25" s="137"/>
      <c r="AA25" s="138"/>
      <c r="AB25" s="145"/>
      <c r="AC25" s="137"/>
      <c r="AD25" s="137"/>
      <c r="AE25" s="137"/>
      <c r="AF25" s="138"/>
    </row>
    <row r="26" spans="1:32" ht="12.75" customHeight="1">
      <c r="A26" s="135"/>
      <c r="B26" s="136" t="s">
        <v>213</v>
      </c>
      <c r="C26" s="145"/>
      <c r="D26" s="137"/>
      <c r="E26" s="137"/>
      <c r="F26" s="137"/>
      <c r="G26" s="138"/>
      <c r="H26" s="145"/>
      <c r="I26" s="137"/>
      <c r="J26" s="137"/>
      <c r="K26" s="137"/>
      <c r="L26" s="138"/>
      <c r="M26" s="145"/>
      <c r="N26" s="137"/>
      <c r="O26" s="137"/>
      <c r="P26" s="137"/>
      <c r="Q26" s="138"/>
      <c r="R26" s="145"/>
      <c r="S26" s="137"/>
      <c r="T26" s="137"/>
      <c r="U26" s="137"/>
      <c r="V26" s="138"/>
      <c r="W26" s="145"/>
      <c r="X26" s="137"/>
      <c r="Y26" s="137"/>
      <c r="Z26" s="137"/>
      <c r="AA26" s="138"/>
      <c r="AB26" s="145"/>
      <c r="AC26" s="137"/>
      <c r="AD26" s="137"/>
      <c r="AE26" s="137"/>
      <c r="AF26" s="138"/>
    </row>
    <row r="27" spans="1:32" ht="12.75" customHeight="1">
      <c r="A27" s="135" t="s">
        <v>140</v>
      </c>
      <c r="B27" s="146" t="s">
        <v>141</v>
      </c>
      <c r="C27" s="145"/>
      <c r="D27" s="137"/>
      <c r="E27" s="137"/>
      <c r="F27" s="137"/>
      <c r="G27" s="138"/>
      <c r="H27" s="145"/>
      <c r="I27" s="137"/>
      <c r="J27" s="137"/>
      <c r="K27" s="137"/>
      <c r="L27" s="138"/>
      <c r="M27" s="145"/>
      <c r="N27" s="137"/>
      <c r="O27" s="137"/>
      <c r="P27" s="137"/>
      <c r="Q27" s="138"/>
      <c r="R27" s="145"/>
      <c r="S27" s="137"/>
      <c r="T27" s="137"/>
      <c r="U27" s="137"/>
      <c r="V27" s="138"/>
      <c r="W27" s="145"/>
      <c r="X27" s="137"/>
      <c r="Y27" s="137"/>
      <c r="Z27" s="137"/>
      <c r="AA27" s="138"/>
      <c r="AB27" s="145"/>
      <c r="AC27" s="137"/>
      <c r="AD27" s="137"/>
      <c r="AE27" s="137"/>
      <c r="AF27" s="138"/>
    </row>
    <row r="28" spans="1:32" ht="24.75" customHeight="1" thickBot="1">
      <c r="A28" s="147" t="s">
        <v>142</v>
      </c>
      <c r="B28" s="148" t="s">
        <v>214</v>
      </c>
      <c r="C28" s="149"/>
      <c r="D28" s="150"/>
      <c r="E28" s="150"/>
      <c r="F28" s="150"/>
      <c r="G28" s="151">
        <v>12.176</v>
      </c>
      <c r="H28" s="149"/>
      <c r="I28" s="150"/>
      <c r="J28" s="150"/>
      <c r="K28" s="150"/>
      <c r="L28" s="151">
        <f>G28/2</f>
        <v>6.088</v>
      </c>
      <c r="M28" s="149"/>
      <c r="N28" s="150"/>
      <c r="O28" s="150"/>
      <c r="P28" s="150"/>
      <c r="Q28" s="151">
        <v>6.088</v>
      </c>
      <c r="R28" s="149"/>
      <c r="S28" s="150"/>
      <c r="T28" s="150"/>
      <c r="U28" s="150">
        <v>13.08972</v>
      </c>
      <c r="V28" s="151"/>
      <c r="W28" s="149"/>
      <c r="X28" s="150"/>
      <c r="Y28" s="150"/>
      <c r="Z28" s="150">
        <v>4.59174</v>
      </c>
      <c r="AA28" s="151"/>
      <c r="AB28" s="149"/>
      <c r="AC28" s="150"/>
      <c r="AD28" s="150"/>
      <c r="AE28" s="150">
        <f>U28-Z28</f>
        <v>8.49798</v>
      </c>
      <c r="AF28" s="151"/>
    </row>
    <row r="29" spans="1:32" ht="12.75" customHeight="1" thickBot="1">
      <c r="A29" s="69"/>
      <c r="B29" s="70"/>
      <c r="C29" s="71"/>
      <c r="D29" s="69"/>
      <c r="E29" s="69"/>
      <c r="F29" s="69"/>
      <c r="G29" s="69"/>
      <c r="H29" s="71"/>
      <c r="I29" s="69"/>
      <c r="J29" s="69"/>
      <c r="K29" s="69"/>
      <c r="L29" s="69"/>
      <c r="M29" s="69"/>
      <c r="N29" s="69"/>
      <c r="O29" s="69"/>
      <c r="P29" s="69"/>
      <c r="Q29" s="69"/>
      <c r="R29" s="71"/>
      <c r="S29" s="69"/>
      <c r="T29" s="69"/>
      <c r="U29" s="69"/>
      <c r="V29" s="69"/>
      <c r="W29" s="71"/>
      <c r="X29" s="69"/>
      <c r="Y29" s="69"/>
      <c r="Z29" s="69"/>
      <c r="AA29" s="69"/>
      <c r="AB29" s="69"/>
      <c r="AC29" s="69"/>
      <c r="AD29" s="69"/>
      <c r="AE29" s="69"/>
      <c r="AF29" s="69"/>
    </row>
    <row r="30" spans="1:32" ht="12.75" customHeight="1">
      <c r="A30" s="376" t="s">
        <v>121</v>
      </c>
      <c r="B30" s="378" t="s">
        <v>122</v>
      </c>
      <c r="C30" s="373" t="s">
        <v>311</v>
      </c>
      <c r="D30" s="374"/>
      <c r="E30" s="374"/>
      <c r="F30" s="374"/>
      <c r="G30" s="375"/>
      <c r="H30" s="373" t="s">
        <v>312</v>
      </c>
      <c r="I30" s="374"/>
      <c r="J30" s="374"/>
      <c r="K30" s="374"/>
      <c r="L30" s="375"/>
      <c r="M30" s="373" t="s">
        <v>313</v>
      </c>
      <c r="N30" s="374"/>
      <c r="O30" s="374"/>
      <c r="P30" s="374"/>
      <c r="Q30" s="375"/>
      <c r="R30" s="373" t="s">
        <v>323</v>
      </c>
      <c r="S30" s="374"/>
      <c r="T30" s="374"/>
      <c r="U30" s="374"/>
      <c r="V30" s="375"/>
      <c r="W30" s="373" t="s">
        <v>324</v>
      </c>
      <c r="X30" s="374"/>
      <c r="Y30" s="374"/>
      <c r="Z30" s="374"/>
      <c r="AA30" s="375"/>
      <c r="AB30" s="373" t="s">
        <v>325</v>
      </c>
      <c r="AC30" s="374"/>
      <c r="AD30" s="374"/>
      <c r="AE30" s="374"/>
      <c r="AF30" s="375"/>
    </row>
    <row r="31" spans="1:32" ht="12.75" customHeight="1" thickBot="1">
      <c r="A31" s="377"/>
      <c r="B31" s="379"/>
      <c r="C31" s="122" t="s">
        <v>123</v>
      </c>
      <c r="D31" s="123" t="s">
        <v>124</v>
      </c>
      <c r="E31" s="123" t="s">
        <v>125</v>
      </c>
      <c r="F31" s="123" t="s">
        <v>126</v>
      </c>
      <c r="G31" s="124" t="s">
        <v>127</v>
      </c>
      <c r="H31" s="122" t="s">
        <v>123</v>
      </c>
      <c r="I31" s="123" t="s">
        <v>124</v>
      </c>
      <c r="J31" s="123" t="s">
        <v>125</v>
      </c>
      <c r="K31" s="123" t="s">
        <v>126</v>
      </c>
      <c r="L31" s="124" t="s">
        <v>127</v>
      </c>
      <c r="M31" s="122" t="s">
        <v>123</v>
      </c>
      <c r="N31" s="123" t="s">
        <v>124</v>
      </c>
      <c r="O31" s="123" t="s">
        <v>125</v>
      </c>
      <c r="P31" s="123" t="s">
        <v>126</v>
      </c>
      <c r="Q31" s="124" t="s">
        <v>127</v>
      </c>
      <c r="R31" s="122" t="s">
        <v>123</v>
      </c>
      <c r="S31" s="123" t="s">
        <v>124</v>
      </c>
      <c r="T31" s="123" t="s">
        <v>125</v>
      </c>
      <c r="U31" s="123" t="s">
        <v>126</v>
      </c>
      <c r="V31" s="124" t="s">
        <v>127</v>
      </c>
      <c r="W31" s="122" t="s">
        <v>123</v>
      </c>
      <c r="X31" s="123" t="s">
        <v>124</v>
      </c>
      <c r="Y31" s="123" t="s">
        <v>125</v>
      </c>
      <c r="Z31" s="123" t="s">
        <v>126</v>
      </c>
      <c r="AA31" s="124" t="s">
        <v>127</v>
      </c>
      <c r="AB31" s="122" t="s">
        <v>123</v>
      </c>
      <c r="AC31" s="123" t="s">
        <v>124</v>
      </c>
      <c r="AD31" s="123" t="s">
        <v>125</v>
      </c>
      <c r="AE31" s="123" t="s">
        <v>126</v>
      </c>
      <c r="AF31" s="124" t="s">
        <v>127</v>
      </c>
    </row>
    <row r="32" spans="1:32" ht="12.75" customHeight="1">
      <c r="A32" s="125">
        <v>1</v>
      </c>
      <c r="B32" s="126">
        <v>2</v>
      </c>
      <c r="C32" s="127">
        <v>18</v>
      </c>
      <c r="D32" s="128">
        <v>19</v>
      </c>
      <c r="E32" s="129">
        <v>20</v>
      </c>
      <c r="F32" s="128">
        <v>21</v>
      </c>
      <c r="G32" s="126">
        <v>22</v>
      </c>
      <c r="H32" s="127">
        <v>23</v>
      </c>
      <c r="I32" s="128">
        <v>24</v>
      </c>
      <c r="J32" s="129">
        <v>25</v>
      </c>
      <c r="K32" s="128">
        <v>26</v>
      </c>
      <c r="L32" s="126">
        <v>27</v>
      </c>
      <c r="M32" s="127">
        <v>28</v>
      </c>
      <c r="N32" s="128">
        <v>29</v>
      </c>
      <c r="O32" s="129">
        <v>30</v>
      </c>
      <c r="P32" s="128">
        <v>31</v>
      </c>
      <c r="Q32" s="126">
        <v>32</v>
      </c>
      <c r="R32" s="127">
        <v>18</v>
      </c>
      <c r="S32" s="128">
        <v>19</v>
      </c>
      <c r="T32" s="129">
        <v>20</v>
      </c>
      <c r="U32" s="128">
        <v>21</v>
      </c>
      <c r="V32" s="126">
        <v>22</v>
      </c>
      <c r="W32" s="127">
        <v>23</v>
      </c>
      <c r="X32" s="128">
        <v>24</v>
      </c>
      <c r="Y32" s="129">
        <v>25</v>
      </c>
      <c r="Z32" s="128">
        <v>26</v>
      </c>
      <c r="AA32" s="126">
        <v>27</v>
      </c>
      <c r="AB32" s="127">
        <v>28</v>
      </c>
      <c r="AC32" s="128">
        <v>29</v>
      </c>
      <c r="AD32" s="129">
        <v>30</v>
      </c>
      <c r="AE32" s="128">
        <v>31</v>
      </c>
      <c r="AF32" s="126">
        <v>32</v>
      </c>
    </row>
    <row r="33" spans="1:32" ht="12.75" customHeight="1">
      <c r="A33" s="130" t="s">
        <v>128</v>
      </c>
      <c r="B33" s="131" t="s">
        <v>129</v>
      </c>
      <c r="C33" s="132">
        <v>33.253</v>
      </c>
      <c r="D33" s="133"/>
      <c r="E33" s="133"/>
      <c r="F33" s="132">
        <v>33.253</v>
      </c>
      <c r="G33" s="134"/>
      <c r="H33" s="132">
        <v>17.566</v>
      </c>
      <c r="I33" s="133"/>
      <c r="J33" s="133"/>
      <c r="K33" s="132">
        <v>17.566</v>
      </c>
      <c r="L33" s="134"/>
      <c r="M33" s="132">
        <f>C33-H33</f>
        <v>15.687000000000001</v>
      </c>
      <c r="N33" s="133"/>
      <c r="O33" s="133"/>
      <c r="P33" s="133">
        <f>F33-K33</f>
        <v>15.687000000000001</v>
      </c>
      <c r="Q33" s="134"/>
      <c r="R33" s="132">
        <f>R38</f>
        <v>35.695509550623825</v>
      </c>
      <c r="S33" s="133"/>
      <c r="T33" s="133"/>
      <c r="U33" s="132">
        <f>R38</f>
        <v>35.695509550623825</v>
      </c>
      <c r="V33" s="134"/>
      <c r="W33" s="132">
        <v>17.566</v>
      </c>
      <c r="X33" s="133"/>
      <c r="Y33" s="133"/>
      <c r="Z33" s="132">
        <v>17.566</v>
      </c>
      <c r="AA33" s="134"/>
      <c r="AB33" s="132">
        <f>R33-W33</f>
        <v>18.129509550623826</v>
      </c>
      <c r="AC33" s="133"/>
      <c r="AD33" s="133"/>
      <c r="AE33" s="133">
        <f>U33-Z33</f>
        <v>18.129509550623826</v>
      </c>
      <c r="AF33" s="134"/>
    </row>
    <row r="34" spans="1:32" ht="12.75" customHeight="1">
      <c r="A34" s="135" t="s">
        <v>130</v>
      </c>
      <c r="B34" s="136" t="s">
        <v>131</v>
      </c>
      <c r="C34" s="132">
        <v>33.253</v>
      </c>
      <c r="D34" s="137"/>
      <c r="E34" s="137"/>
      <c r="F34" s="132">
        <v>33.253</v>
      </c>
      <c r="G34" s="138">
        <f>G38</f>
        <v>16.633364359999998</v>
      </c>
      <c r="H34" s="132">
        <v>17.566</v>
      </c>
      <c r="I34" s="137"/>
      <c r="J34" s="137"/>
      <c r="K34" s="132">
        <v>17.566</v>
      </c>
      <c r="L34" s="139">
        <v>8.37</v>
      </c>
      <c r="M34" s="132">
        <f>C34-H34</f>
        <v>15.687000000000001</v>
      </c>
      <c r="N34" s="137"/>
      <c r="O34" s="137"/>
      <c r="P34" s="137">
        <f>F34-K34</f>
        <v>15.687000000000001</v>
      </c>
      <c r="Q34" s="139">
        <f>G34-L34</f>
        <v>8.263364359999999</v>
      </c>
      <c r="R34" s="132">
        <f>R38</f>
        <v>35.695509550623825</v>
      </c>
      <c r="S34" s="137"/>
      <c r="T34" s="137"/>
      <c r="U34" s="132">
        <f>R38</f>
        <v>35.695509550623825</v>
      </c>
      <c r="V34" s="138">
        <f>V38</f>
        <v>16.105463511935522</v>
      </c>
      <c r="W34" s="132">
        <v>17.566</v>
      </c>
      <c r="X34" s="137"/>
      <c r="Y34" s="137"/>
      <c r="Z34" s="132">
        <v>17.566</v>
      </c>
      <c r="AA34" s="139">
        <f>AA38</f>
        <v>8.110008599999997</v>
      </c>
      <c r="AB34" s="132">
        <f>R34-W34</f>
        <v>18.129509550623826</v>
      </c>
      <c r="AC34" s="137"/>
      <c r="AD34" s="137"/>
      <c r="AE34" s="137">
        <f>U34-Z34</f>
        <v>18.129509550623826</v>
      </c>
      <c r="AF34" s="139">
        <f>V34-AA34</f>
        <v>7.995454911935525</v>
      </c>
    </row>
    <row r="35" spans="1:32" ht="15.75">
      <c r="A35" s="135"/>
      <c r="B35" s="136" t="s">
        <v>132</v>
      </c>
      <c r="C35" s="132"/>
      <c r="D35" s="137"/>
      <c r="E35" s="137"/>
      <c r="F35" s="137"/>
      <c r="G35" s="138"/>
      <c r="H35" s="132"/>
      <c r="I35" s="137"/>
      <c r="J35" s="137"/>
      <c r="K35" s="137"/>
      <c r="L35" s="138"/>
      <c r="M35" s="132"/>
      <c r="N35" s="137"/>
      <c r="O35" s="137"/>
      <c r="P35" s="137"/>
      <c r="Q35" s="138"/>
      <c r="R35" s="132"/>
      <c r="S35" s="137"/>
      <c r="T35" s="137"/>
      <c r="U35" s="137"/>
      <c r="V35" s="138"/>
      <c r="W35" s="132"/>
      <c r="X35" s="137"/>
      <c r="Y35" s="137"/>
      <c r="Z35" s="137"/>
      <c r="AA35" s="138"/>
      <c r="AB35" s="132"/>
      <c r="AC35" s="137"/>
      <c r="AD35" s="137"/>
      <c r="AE35" s="137"/>
      <c r="AF35" s="138"/>
    </row>
    <row r="36" spans="1:32" ht="15.75">
      <c r="A36" s="135"/>
      <c r="B36" s="136" t="s">
        <v>124</v>
      </c>
      <c r="C36" s="132"/>
      <c r="D36" s="140"/>
      <c r="E36" s="137"/>
      <c r="F36" s="137"/>
      <c r="G36" s="138"/>
      <c r="H36" s="132"/>
      <c r="I36" s="140"/>
      <c r="J36" s="137"/>
      <c r="K36" s="137"/>
      <c r="L36" s="138"/>
      <c r="M36" s="132"/>
      <c r="N36" s="140"/>
      <c r="O36" s="137"/>
      <c r="P36" s="137"/>
      <c r="Q36" s="138"/>
      <c r="R36" s="132"/>
      <c r="S36" s="140"/>
      <c r="T36" s="137"/>
      <c r="U36" s="137"/>
      <c r="V36" s="138"/>
      <c r="W36" s="132"/>
      <c r="X36" s="140"/>
      <c r="Y36" s="137"/>
      <c r="Z36" s="137"/>
      <c r="AA36" s="138"/>
      <c r="AB36" s="132"/>
      <c r="AC36" s="140"/>
      <c r="AD36" s="137"/>
      <c r="AE36" s="137"/>
      <c r="AF36" s="138"/>
    </row>
    <row r="37" spans="1:32" ht="15.75">
      <c r="A37" s="135"/>
      <c r="B37" s="136" t="s">
        <v>125</v>
      </c>
      <c r="C37" s="132"/>
      <c r="D37" s="137"/>
      <c r="E37" s="137"/>
      <c r="F37" s="137"/>
      <c r="G37" s="138"/>
      <c r="H37" s="132"/>
      <c r="I37" s="137"/>
      <c r="J37" s="137"/>
      <c r="K37" s="137"/>
      <c r="L37" s="138"/>
      <c r="M37" s="132"/>
      <c r="N37" s="137"/>
      <c r="O37" s="137"/>
      <c r="P37" s="137"/>
      <c r="Q37" s="138"/>
      <c r="R37" s="132"/>
      <c r="S37" s="137"/>
      <c r="T37" s="137"/>
      <c r="U37" s="137"/>
      <c r="V37" s="138"/>
      <c r="W37" s="132"/>
      <c r="X37" s="137"/>
      <c r="Y37" s="137"/>
      <c r="Z37" s="137"/>
      <c r="AA37" s="138"/>
      <c r="AB37" s="132"/>
      <c r="AC37" s="137"/>
      <c r="AD37" s="137"/>
      <c r="AE37" s="137"/>
      <c r="AF37" s="138"/>
    </row>
    <row r="38" spans="1:32" ht="15.75">
      <c r="A38" s="135"/>
      <c r="B38" s="136" t="s">
        <v>133</v>
      </c>
      <c r="C38" s="132">
        <f>C34</f>
        <v>33.253</v>
      </c>
      <c r="D38" s="137"/>
      <c r="E38" s="137"/>
      <c r="F38" s="132">
        <f>C38</f>
        <v>33.253</v>
      </c>
      <c r="G38" s="139">
        <f>F38-F42-F45</f>
        <v>16.633364359999998</v>
      </c>
      <c r="H38" s="132">
        <v>17.566</v>
      </c>
      <c r="I38" s="137"/>
      <c r="J38" s="137"/>
      <c r="K38" s="132">
        <v>17.566</v>
      </c>
      <c r="L38" s="139">
        <f>K38-K42-K45</f>
        <v>8.78733592</v>
      </c>
      <c r="M38" s="132">
        <f>C38-H38</f>
        <v>15.687000000000001</v>
      </c>
      <c r="N38" s="137"/>
      <c r="O38" s="137"/>
      <c r="P38" s="137">
        <f>F38-K38</f>
        <v>15.687000000000001</v>
      </c>
      <c r="Q38" s="139">
        <f>G38-L38</f>
        <v>7.846028439999998</v>
      </c>
      <c r="R38" s="132">
        <f>R45/(1-R43)</f>
        <v>35.695509550623825</v>
      </c>
      <c r="S38" s="137"/>
      <c r="T38" s="137"/>
      <c r="U38" s="132">
        <f>R38</f>
        <v>35.695509550623825</v>
      </c>
      <c r="V38" s="139">
        <f>U38-U42-U45</f>
        <v>16.105463511935522</v>
      </c>
      <c r="W38" s="132">
        <v>17.566</v>
      </c>
      <c r="X38" s="137"/>
      <c r="Y38" s="137"/>
      <c r="Z38" s="132">
        <v>17.566</v>
      </c>
      <c r="AA38" s="139">
        <f>Z38-Z42-Z45</f>
        <v>8.110008599999997</v>
      </c>
      <c r="AB38" s="132">
        <f>R38-W38</f>
        <v>18.129509550623826</v>
      </c>
      <c r="AC38" s="137"/>
      <c r="AD38" s="137"/>
      <c r="AE38" s="137">
        <f>U38-Z38</f>
        <v>18.129509550623826</v>
      </c>
      <c r="AF38" s="139">
        <f>V38-AA38</f>
        <v>7.995454911935525</v>
      </c>
    </row>
    <row r="39" spans="1:32" ht="15.75">
      <c r="A39" s="135" t="s">
        <v>134</v>
      </c>
      <c r="B39" s="136" t="s">
        <v>135</v>
      </c>
      <c r="C39" s="132"/>
      <c r="D39" s="137"/>
      <c r="E39" s="137"/>
      <c r="F39" s="137"/>
      <c r="G39" s="138"/>
      <c r="H39" s="132"/>
      <c r="I39" s="137"/>
      <c r="J39" s="137"/>
      <c r="K39" s="137"/>
      <c r="L39" s="138"/>
      <c r="M39" s="132"/>
      <c r="N39" s="137"/>
      <c r="O39" s="137"/>
      <c r="P39" s="137"/>
      <c r="Q39" s="138"/>
      <c r="R39" s="132">
        <v>0</v>
      </c>
      <c r="S39" s="137"/>
      <c r="T39" s="137"/>
      <c r="U39" s="137"/>
      <c r="V39" s="138"/>
      <c r="W39" s="132"/>
      <c r="X39" s="137"/>
      <c r="Y39" s="137"/>
      <c r="Z39" s="137"/>
      <c r="AA39" s="138"/>
      <c r="AB39" s="132"/>
      <c r="AC39" s="137"/>
      <c r="AD39" s="137"/>
      <c r="AE39" s="137"/>
      <c r="AF39" s="138"/>
    </row>
    <row r="40" spans="1:32" ht="25.5">
      <c r="A40" s="135" t="s">
        <v>202</v>
      </c>
      <c r="B40" s="136" t="s">
        <v>136</v>
      </c>
      <c r="C40" s="132"/>
      <c r="D40" s="137"/>
      <c r="E40" s="137"/>
      <c r="F40" s="137"/>
      <c r="G40" s="138"/>
      <c r="H40" s="132"/>
      <c r="I40" s="137"/>
      <c r="J40" s="137"/>
      <c r="K40" s="137"/>
      <c r="L40" s="138"/>
      <c r="M40" s="132"/>
      <c r="N40" s="137"/>
      <c r="O40" s="137"/>
      <c r="P40" s="137"/>
      <c r="Q40" s="138"/>
      <c r="R40" s="132"/>
      <c r="S40" s="137"/>
      <c r="T40" s="137"/>
      <c r="U40" s="137"/>
      <c r="V40" s="138"/>
      <c r="W40" s="132"/>
      <c r="X40" s="137"/>
      <c r="Y40" s="137"/>
      <c r="Z40" s="137"/>
      <c r="AA40" s="138"/>
      <c r="AB40" s="132"/>
      <c r="AC40" s="137"/>
      <c r="AD40" s="137"/>
      <c r="AE40" s="137"/>
      <c r="AF40" s="138"/>
    </row>
    <row r="41" spans="1:32" ht="25.5">
      <c r="A41" s="135" t="s">
        <v>137</v>
      </c>
      <c r="B41" s="136" t="s">
        <v>203</v>
      </c>
      <c r="C41" s="132"/>
      <c r="D41" s="137"/>
      <c r="E41" s="137"/>
      <c r="F41" s="137"/>
      <c r="G41" s="138"/>
      <c r="H41" s="132"/>
      <c r="I41" s="137"/>
      <c r="J41" s="137"/>
      <c r="K41" s="137"/>
      <c r="L41" s="138"/>
      <c r="M41" s="132"/>
      <c r="N41" s="137"/>
      <c r="O41" s="137"/>
      <c r="P41" s="137"/>
      <c r="Q41" s="138"/>
      <c r="R41" s="132"/>
      <c r="S41" s="137"/>
      <c r="T41" s="137"/>
      <c r="U41" s="137"/>
      <c r="V41" s="138"/>
      <c r="W41" s="132"/>
      <c r="X41" s="137"/>
      <c r="Y41" s="137"/>
      <c r="Z41" s="137"/>
      <c r="AA41" s="138"/>
      <c r="AB41" s="132"/>
      <c r="AC41" s="137"/>
      <c r="AD41" s="137"/>
      <c r="AE41" s="137"/>
      <c r="AF41" s="138"/>
    </row>
    <row r="42" spans="1:32" ht="15.75">
      <c r="A42" s="130" t="s">
        <v>204</v>
      </c>
      <c r="B42" s="131" t="s">
        <v>138</v>
      </c>
      <c r="C42" s="132">
        <v>3.1374</v>
      </c>
      <c r="D42" s="133"/>
      <c r="E42" s="133"/>
      <c r="F42" s="133">
        <f>F38*0.04188</f>
        <v>1.39263564</v>
      </c>
      <c r="G42" s="134">
        <f>G38*0.1049</f>
        <v>1.7448399213639998</v>
      </c>
      <c r="H42" s="132">
        <f>K42+L42</f>
        <v>1.657455618008</v>
      </c>
      <c r="I42" s="133"/>
      <c r="J42" s="133"/>
      <c r="K42" s="133">
        <f>K38*0.04188</f>
        <v>0.7356640799999999</v>
      </c>
      <c r="L42" s="134">
        <f>L38*0.1049</f>
        <v>0.921791538008</v>
      </c>
      <c r="M42" s="132">
        <f>C42-H42</f>
        <v>1.479944381992</v>
      </c>
      <c r="N42" s="133"/>
      <c r="O42" s="133"/>
      <c r="P42" s="133">
        <f>F42-K42</f>
        <v>0.65697156</v>
      </c>
      <c r="Q42" s="134">
        <f>G42-L42</f>
        <v>0.8230483833559998</v>
      </c>
      <c r="R42" s="132">
        <f>U42+V42</f>
        <v>3.3664381610903433</v>
      </c>
      <c r="S42" s="133"/>
      <c r="T42" s="133"/>
      <c r="U42" s="133">
        <f>U38*U43</f>
        <v>1.6769750386883073</v>
      </c>
      <c r="V42" s="134">
        <f>V38*0.1049</f>
        <v>1.6894631224020362</v>
      </c>
      <c r="W42" s="132">
        <f>Z42+AA42</f>
        <v>1.6570193021399997</v>
      </c>
      <c r="X42" s="133"/>
      <c r="Y42" s="133"/>
      <c r="Z42" s="133">
        <f>Z38*Z43</f>
        <v>0.8062794</v>
      </c>
      <c r="AA42" s="134">
        <f>AA38*0.1049</f>
        <v>0.8507399021399996</v>
      </c>
      <c r="AB42" s="132">
        <f>R42-W42</f>
        <v>1.7094188589503436</v>
      </c>
      <c r="AC42" s="133"/>
      <c r="AD42" s="133"/>
      <c r="AE42" s="133">
        <f>U42-Z42</f>
        <v>0.8706956386883073</v>
      </c>
      <c r="AF42" s="134">
        <f>V42-AA42</f>
        <v>0.8387232202620366</v>
      </c>
    </row>
    <row r="43" spans="1:32" ht="15.75">
      <c r="A43" s="135"/>
      <c r="B43" s="136" t="s">
        <v>205</v>
      </c>
      <c r="C43" s="141">
        <f>C42/C38</f>
        <v>0.09434938201064566</v>
      </c>
      <c r="D43" s="142"/>
      <c r="E43" s="142"/>
      <c r="F43" s="142">
        <v>0.04188</v>
      </c>
      <c r="G43" s="143">
        <v>0.1049</v>
      </c>
      <c r="H43" s="141">
        <f>H42/H38</f>
        <v>0.09435589308937721</v>
      </c>
      <c r="I43" s="142"/>
      <c r="J43" s="142"/>
      <c r="K43" s="142">
        <v>0.04188</v>
      </c>
      <c r="L43" s="143">
        <v>0.1049</v>
      </c>
      <c r="M43" s="141">
        <f>M42/M38</f>
        <v>0.09434209103027984</v>
      </c>
      <c r="N43" s="142"/>
      <c r="O43" s="142"/>
      <c r="P43" s="142">
        <v>0.04188</v>
      </c>
      <c r="Q43" s="143">
        <v>0.1049</v>
      </c>
      <c r="R43" s="141">
        <v>0.0943</v>
      </c>
      <c r="S43" s="142"/>
      <c r="T43" s="142"/>
      <c r="U43" s="142">
        <v>0.04698</v>
      </c>
      <c r="V43" s="143">
        <v>0.1049</v>
      </c>
      <c r="W43" s="141">
        <f>W42/W38</f>
        <v>0.0943310544312877</v>
      </c>
      <c r="X43" s="142"/>
      <c r="Y43" s="142"/>
      <c r="Z43" s="142">
        <v>0.0459</v>
      </c>
      <c r="AA43" s="143">
        <v>0.1049</v>
      </c>
      <c r="AB43" s="141">
        <f>AB42/AB38</f>
        <v>0.09428930518925834</v>
      </c>
      <c r="AC43" s="142"/>
      <c r="AD43" s="142"/>
      <c r="AE43" s="142">
        <f>AE42/AE38</f>
        <v>0.0480264309554004</v>
      </c>
      <c r="AF43" s="143">
        <v>0.1049</v>
      </c>
    </row>
    <row r="44" spans="1:32" ht="38.25">
      <c r="A44" s="130" t="s">
        <v>206</v>
      </c>
      <c r="B44" s="144" t="s">
        <v>207</v>
      </c>
      <c r="C44" s="132">
        <v>0</v>
      </c>
      <c r="D44" s="133"/>
      <c r="E44" s="133"/>
      <c r="F44" s="133"/>
      <c r="G44" s="134"/>
      <c r="H44" s="132"/>
      <c r="I44" s="133"/>
      <c r="J44" s="133"/>
      <c r="K44" s="133"/>
      <c r="L44" s="134"/>
      <c r="M44" s="132"/>
      <c r="N44" s="133"/>
      <c r="O44" s="133"/>
      <c r="P44" s="133"/>
      <c r="Q44" s="134"/>
      <c r="R44" s="132">
        <v>0</v>
      </c>
      <c r="S44" s="133"/>
      <c r="T44" s="133"/>
      <c r="U44" s="133"/>
      <c r="V44" s="134">
        <f>V38-V42</f>
        <v>14.416000389533485</v>
      </c>
      <c r="W44" s="132"/>
      <c r="X44" s="133"/>
      <c r="Y44" s="133"/>
      <c r="Z44" s="133"/>
      <c r="AA44" s="134"/>
      <c r="AB44" s="132"/>
      <c r="AC44" s="133"/>
      <c r="AD44" s="133"/>
      <c r="AE44" s="133"/>
      <c r="AF44" s="134"/>
    </row>
    <row r="45" spans="1:32" ht="15.75">
      <c r="A45" s="130" t="s">
        <v>208</v>
      </c>
      <c r="B45" s="131" t="s">
        <v>209</v>
      </c>
      <c r="C45" s="132">
        <f>F45+G45</f>
        <v>30.115524438636</v>
      </c>
      <c r="D45" s="133"/>
      <c r="E45" s="133"/>
      <c r="F45" s="133">
        <f>F46+F51</f>
        <v>15.227</v>
      </c>
      <c r="G45" s="134">
        <f>G46</f>
        <v>14.888524438635999</v>
      </c>
      <c r="H45" s="132">
        <f>K45+L45</f>
        <v>15.908544381992</v>
      </c>
      <c r="I45" s="133"/>
      <c r="J45" s="133"/>
      <c r="K45" s="133">
        <f>K46+K51</f>
        <v>8.043</v>
      </c>
      <c r="L45" s="134">
        <f>L46</f>
        <v>7.865544381992001</v>
      </c>
      <c r="M45" s="132">
        <f>C45-H45</f>
        <v>14.206980056644001</v>
      </c>
      <c r="N45" s="133"/>
      <c r="O45" s="133"/>
      <c r="P45" s="133">
        <f>F45-K45</f>
        <v>7.184000000000001</v>
      </c>
      <c r="Q45" s="134">
        <f>G45-L45</f>
        <v>7.022980056643998</v>
      </c>
      <c r="R45" s="132">
        <f>U45+V45</f>
        <v>32.329423</v>
      </c>
      <c r="S45" s="133"/>
      <c r="T45" s="133"/>
      <c r="U45" s="133">
        <f>U46+U51</f>
        <v>17.913071</v>
      </c>
      <c r="V45" s="134">
        <f>V46</f>
        <v>14.416352</v>
      </c>
      <c r="W45" s="132">
        <f>Z45+AA45</f>
        <v>15.908980697859999</v>
      </c>
      <c r="X45" s="133"/>
      <c r="Y45" s="133"/>
      <c r="Z45" s="133">
        <f>Z46+Z51</f>
        <v>8.649712000000001</v>
      </c>
      <c r="AA45" s="134">
        <f>AA46</f>
        <v>7.259268697859997</v>
      </c>
      <c r="AB45" s="132">
        <f>R45-W45</f>
        <v>16.42044230214</v>
      </c>
      <c r="AC45" s="133"/>
      <c r="AD45" s="133"/>
      <c r="AE45" s="133">
        <f>U45-Z45</f>
        <v>9.263358999999998</v>
      </c>
      <c r="AF45" s="134">
        <f>V45-AA45</f>
        <v>7.157083302140003</v>
      </c>
    </row>
    <row r="46" spans="1:32" ht="25.5">
      <c r="A46" s="135" t="s">
        <v>139</v>
      </c>
      <c r="B46" s="136" t="s">
        <v>210</v>
      </c>
      <c r="C46" s="145"/>
      <c r="D46" s="137"/>
      <c r="E46" s="137"/>
      <c r="F46" s="137">
        <v>4.144</v>
      </c>
      <c r="G46" s="138">
        <f>G38-G42</f>
        <v>14.888524438635999</v>
      </c>
      <c r="H46" s="145"/>
      <c r="I46" s="137"/>
      <c r="J46" s="137"/>
      <c r="K46" s="137">
        <v>2.023</v>
      </c>
      <c r="L46" s="138">
        <f>L38-L42</f>
        <v>7.865544381992001</v>
      </c>
      <c r="M46" s="145"/>
      <c r="N46" s="137"/>
      <c r="O46" s="137"/>
      <c r="P46" s="137">
        <f>F46-K46</f>
        <v>2.121</v>
      </c>
      <c r="Q46" s="138">
        <f>G46-L46</f>
        <v>7.022980056643998</v>
      </c>
      <c r="R46" s="145"/>
      <c r="S46" s="137"/>
      <c r="T46" s="137"/>
      <c r="U46" s="137">
        <v>4.823351</v>
      </c>
      <c r="V46" s="138">
        <v>14.416352</v>
      </c>
      <c r="W46" s="145"/>
      <c r="X46" s="137"/>
      <c r="Y46" s="137"/>
      <c r="Z46" s="137">
        <v>2.439712</v>
      </c>
      <c r="AA46" s="138">
        <f>AA38-AA42</f>
        <v>7.259268697859997</v>
      </c>
      <c r="AB46" s="145"/>
      <c r="AC46" s="137"/>
      <c r="AD46" s="137"/>
      <c r="AE46" s="137">
        <f>U46-Z46</f>
        <v>2.3836389999999996</v>
      </c>
      <c r="AF46" s="138">
        <f>V46-AA46</f>
        <v>7.157083302140003</v>
      </c>
    </row>
    <row r="47" spans="1:32" ht="15.75">
      <c r="A47" s="135"/>
      <c r="B47" s="136" t="s">
        <v>211</v>
      </c>
      <c r="C47" s="145"/>
      <c r="D47" s="137"/>
      <c r="E47" s="137"/>
      <c r="F47" s="137"/>
      <c r="G47" s="138"/>
      <c r="H47" s="145"/>
      <c r="I47" s="137"/>
      <c r="J47" s="137"/>
      <c r="K47" s="137"/>
      <c r="L47" s="138"/>
      <c r="M47" s="145"/>
      <c r="N47" s="137"/>
      <c r="O47" s="137"/>
      <c r="P47" s="137"/>
      <c r="Q47" s="138"/>
      <c r="R47" s="145"/>
      <c r="S47" s="137"/>
      <c r="T47" s="137"/>
      <c r="U47" s="137"/>
      <c r="V47" s="138"/>
      <c r="W47" s="145"/>
      <c r="X47" s="137"/>
      <c r="Y47" s="137"/>
      <c r="Z47" s="137"/>
      <c r="AA47" s="138"/>
      <c r="AB47" s="145"/>
      <c r="AC47" s="137"/>
      <c r="AD47" s="137"/>
      <c r="AE47" s="137"/>
      <c r="AF47" s="138"/>
    </row>
    <row r="48" spans="1:32" ht="25.5">
      <c r="A48" s="135"/>
      <c r="B48" s="136" t="s">
        <v>212</v>
      </c>
      <c r="C48" s="145"/>
      <c r="D48" s="137"/>
      <c r="E48" s="137"/>
      <c r="F48" s="137"/>
      <c r="G48" s="138"/>
      <c r="H48" s="145"/>
      <c r="I48" s="137"/>
      <c r="J48" s="137"/>
      <c r="K48" s="137"/>
      <c r="L48" s="138"/>
      <c r="M48" s="145"/>
      <c r="N48" s="137"/>
      <c r="O48" s="137"/>
      <c r="P48" s="137"/>
      <c r="Q48" s="138"/>
      <c r="R48" s="145"/>
      <c r="S48" s="137"/>
      <c r="T48" s="137"/>
      <c r="U48" s="137"/>
      <c r="V48" s="138"/>
      <c r="W48" s="145"/>
      <c r="X48" s="137"/>
      <c r="Y48" s="137"/>
      <c r="Z48" s="137"/>
      <c r="AA48" s="138"/>
      <c r="AB48" s="145"/>
      <c r="AC48" s="137"/>
      <c r="AD48" s="137"/>
      <c r="AE48" s="137"/>
      <c r="AF48" s="138"/>
    </row>
    <row r="49" spans="1:32" ht="15.75">
      <c r="A49" s="135"/>
      <c r="B49" s="136" t="s">
        <v>213</v>
      </c>
      <c r="C49" s="145"/>
      <c r="D49" s="137"/>
      <c r="E49" s="137"/>
      <c r="F49" s="137"/>
      <c r="G49" s="138"/>
      <c r="H49" s="145"/>
      <c r="I49" s="137"/>
      <c r="J49" s="137"/>
      <c r="K49" s="137"/>
      <c r="L49" s="138"/>
      <c r="M49" s="145"/>
      <c r="N49" s="137"/>
      <c r="O49" s="137"/>
      <c r="P49" s="137"/>
      <c r="Q49" s="138"/>
      <c r="R49" s="145"/>
      <c r="S49" s="137"/>
      <c r="T49" s="137"/>
      <c r="U49" s="137"/>
      <c r="V49" s="138"/>
      <c r="W49" s="145"/>
      <c r="X49" s="137"/>
      <c r="Y49" s="137"/>
      <c r="Z49" s="137"/>
      <c r="AA49" s="138"/>
      <c r="AB49" s="145"/>
      <c r="AC49" s="137"/>
      <c r="AD49" s="137"/>
      <c r="AE49" s="137"/>
      <c r="AF49" s="138"/>
    </row>
    <row r="50" spans="1:32" ht="15.75">
      <c r="A50" s="135" t="s">
        <v>140</v>
      </c>
      <c r="B50" s="146" t="s">
        <v>141</v>
      </c>
      <c r="C50" s="145"/>
      <c r="D50" s="137"/>
      <c r="E50" s="137"/>
      <c r="F50" s="137"/>
      <c r="G50" s="138"/>
      <c r="H50" s="145"/>
      <c r="I50" s="137"/>
      <c r="J50" s="137"/>
      <c r="K50" s="137"/>
      <c r="L50" s="138"/>
      <c r="M50" s="145"/>
      <c r="N50" s="137"/>
      <c r="O50" s="137"/>
      <c r="P50" s="137"/>
      <c r="Q50" s="138"/>
      <c r="R50" s="145"/>
      <c r="S50" s="137"/>
      <c r="T50" s="137"/>
      <c r="U50" s="137"/>
      <c r="V50" s="138"/>
      <c r="W50" s="145"/>
      <c r="X50" s="137"/>
      <c r="Y50" s="137"/>
      <c r="Z50" s="137"/>
      <c r="AA50" s="138"/>
      <c r="AB50" s="145"/>
      <c r="AC50" s="137"/>
      <c r="AD50" s="137"/>
      <c r="AE50" s="137"/>
      <c r="AF50" s="138"/>
    </row>
    <row r="51" spans="1:32" ht="26.25" thickBot="1">
      <c r="A51" s="147" t="s">
        <v>142</v>
      </c>
      <c r="B51" s="148" t="s">
        <v>214</v>
      </c>
      <c r="C51" s="149"/>
      <c r="D51" s="150"/>
      <c r="E51" s="150"/>
      <c r="F51" s="150">
        <v>11.083</v>
      </c>
      <c r="G51" s="151"/>
      <c r="H51" s="149"/>
      <c r="I51" s="150"/>
      <c r="J51" s="150"/>
      <c r="K51" s="150">
        <v>6.02</v>
      </c>
      <c r="L51" s="151">
        <f>G51/2</f>
        <v>0</v>
      </c>
      <c r="M51" s="149"/>
      <c r="N51" s="150"/>
      <c r="O51" s="150"/>
      <c r="P51" s="150">
        <f>F51-K51</f>
        <v>5.063000000000001</v>
      </c>
      <c r="Q51" s="151">
        <f>G51-L51</f>
        <v>0</v>
      </c>
      <c r="R51" s="149"/>
      <c r="S51" s="150"/>
      <c r="T51" s="150"/>
      <c r="U51" s="150">
        <v>13.08972</v>
      </c>
      <c r="V51" s="151"/>
      <c r="W51" s="149"/>
      <c r="X51" s="150"/>
      <c r="Y51" s="150"/>
      <c r="Z51" s="150">
        <v>6.21</v>
      </c>
      <c r="AA51" s="151">
        <f>V51/2</f>
        <v>0</v>
      </c>
      <c r="AB51" s="149"/>
      <c r="AC51" s="150"/>
      <c r="AD51" s="150"/>
      <c r="AE51" s="150">
        <f>U51-Z51</f>
        <v>6.87972</v>
      </c>
      <c r="AF51" s="151">
        <f>V51-AA51</f>
        <v>0</v>
      </c>
    </row>
    <row r="52" spans="1:32" ht="15.75">
      <c r="A52" s="69"/>
      <c r="B52" s="73"/>
      <c r="C52" s="74"/>
      <c r="D52" s="75"/>
      <c r="E52" s="75"/>
      <c r="F52" s="75"/>
      <c r="G52" s="75"/>
      <c r="H52" s="74"/>
      <c r="I52" s="75"/>
      <c r="J52" s="75"/>
      <c r="K52" s="75"/>
      <c r="L52" s="75"/>
      <c r="M52" s="74"/>
      <c r="N52" s="69"/>
      <c r="O52" s="69"/>
      <c r="P52" s="69"/>
      <c r="Q52" s="69"/>
      <c r="R52" s="74"/>
      <c r="S52" s="75"/>
      <c r="T52" s="75"/>
      <c r="U52" s="75"/>
      <c r="V52" s="75"/>
      <c r="W52" s="74"/>
      <c r="X52" s="75"/>
      <c r="Y52" s="75"/>
      <c r="Z52" s="75"/>
      <c r="AA52" s="75"/>
      <c r="AB52" s="74"/>
      <c r="AC52" s="69"/>
      <c r="AD52" s="69"/>
      <c r="AE52" s="69"/>
      <c r="AF52" s="69"/>
    </row>
    <row r="53" spans="1:32" ht="15.75">
      <c r="A53" s="178" t="s">
        <v>260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70"/>
      <c r="M53" s="70"/>
      <c r="N53" s="70"/>
      <c r="O53" s="70"/>
      <c r="P53" s="70"/>
      <c r="Q53" s="70"/>
      <c r="R53" s="69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.75">
      <c r="A54" s="69"/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71"/>
      <c r="M54" s="69"/>
      <c r="N54" s="69"/>
      <c r="O54" s="69"/>
      <c r="P54" s="69"/>
      <c r="Q54"/>
      <c r="R54" s="69"/>
      <c r="S54" s="69"/>
      <c r="T54" s="69"/>
      <c r="U54" s="69"/>
      <c r="V54" s="69"/>
      <c r="W54" s="69"/>
      <c r="X54" s="69"/>
      <c r="Y54" s="69"/>
      <c r="Z54" s="69"/>
      <c r="AA54" s="71"/>
      <c r="AB54" s="69"/>
      <c r="AC54" s="69"/>
      <c r="AD54" s="69"/>
      <c r="AE54" s="69"/>
      <c r="AF54"/>
    </row>
    <row r="55" spans="19:32" ht="15.75">
      <c r="S55" s="69"/>
      <c r="T55" s="69"/>
      <c r="U55" s="69"/>
      <c r="V55" s="69"/>
      <c r="W55" s="71"/>
      <c r="X55" s="69"/>
      <c r="Y55" s="69"/>
      <c r="Z55" s="69"/>
      <c r="AA55" s="69"/>
      <c r="AB55" s="69"/>
      <c r="AC55" s="69"/>
      <c r="AD55" s="69"/>
      <c r="AE55" s="69"/>
      <c r="AF55" s="69"/>
    </row>
    <row r="56" spans="19:32" ht="15.75">
      <c r="S56" s="69"/>
      <c r="T56" s="69"/>
      <c r="U56" s="69"/>
      <c r="V56" s="69"/>
      <c r="W56" s="71"/>
      <c r="X56" s="69"/>
      <c r="Y56" s="69"/>
      <c r="Z56" s="69"/>
      <c r="AA56" s="69"/>
      <c r="AB56" s="69"/>
      <c r="AC56" s="69"/>
      <c r="AD56" s="69"/>
      <c r="AE56" s="69"/>
      <c r="AF56" s="69"/>
    </row>
  </sheetData>
  <sheetProtection/>
  <mergeCells count="18">
    <mergeCell ref="R7:V7"/>
    <mergeCell ref="W7:AA7"/>
    <mergeCell ref="AB7:AF7"/>
    <mergeCell ref="M7:Q7"/>
    <mergeCell ref="A2:L2"/>
    <mergeCell ref="A3:L3"/>
    <mergeCell ref="A7:A8"/>
    <mergeCell ref="B7:B8"/>
    <mergeCell ref="C7:G7"/>
    <mergeCell ref="H7:L7"/>
    <mergeCell ref="W30:AA30"/>
    <mergeCell ref="AB30:AF30"/>
    <mergeCell ref="A30:A31"/>
    <mergeCell ref="B30:B31"/>
    <mergeCell ref="C30:G30"/>
    <mergeCell ref="H30:L30"/>
    <mergeCell ref="M30:Q30"/>
    <mergeCell ref="R30:V30"/>
  </mergeCells>
  <printOptions/>
  <pageMargins left="0.16" right="0.17" top="0.22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zoomScale="87" zoomScaleNormal="87" zoomScalePageLayoutView="0" workbookViewId="0" topLeftCell="A13">
      <selection activeCell="AB29" sqref="AB29"/>
    </sheetView>
  </sheetViews>
  <sheetFormatPr defaultColWidth="9.00390625" defaultRowHeight="12.75"/>
  <cols>
    <col min="1" max="1" width="4.75390625" style="68" bestFit="1" customWidth="1"/>
    <col min="2" max="2" width="29.75390625" style="68" customWidth="1"/>
    <col min="3" max="3" width="6.75390625" style="68" customWidth="1"/>
    <col min="4" max="4" width="4.375" style="68" customWidth="1"/>
    <col min="5" max="5" width="4.875" style="68" customWidth="1"/>
    <col min="6" max="6" width="6.625" style="68" customWidth="1"/>
    <col min="7" max="7" width="8.25390625" style="68" customWidth="1"/>
    <col min="8" max="8" width="6.875" style="68" customWidth="1"/>
    <col min="9" max="9" width="4.375" style="68" customWidth="1"/>
    <col min="10" max="10" width="5.25390625" style="68" customWidth="1"/>
    <col min="11" max="11" width="7.125" style="68" customWidth="1"/>
    <col min="12" max="12" width="8.375" style="68" customWidth="1"/>
    <col min="13" max="13" width="7.375" style="68" customWidth="1"/>
    <col min="14" max="14" width="5.00390625" style="68" customWidth="1"/>
    <col min="15" max="15" width="5.125" style="68" customWidth="1"/>
    <col min="16" max="16" width="6.875" style="68" customWidth="1"/>
    <col min="17" max="17" width="7.125" style="68" customWidth="1"/>
    <col min="18" max="18" width="7.375" style="68" customWidth="1"/>
    <col min="19" max="19" width="4.875" style="68" customWidth="1"/>
    <col min="20" max="20" width="5.625" style="68" customWidth="1"/>
    <col min="21" max="21" width="7.25390625" style="68" customWidth="1"/>
    <col min="22" max="22" width="7.625" style="68" customWidth="1"/>
    <col min="23" max="23" width="7.875" style="68" customWidth="1"/>
    <col min="24" max="24" width="5.25390625" style="68" customWidth="1"/>
    <col min="25" max="25" width="6.25390625" style="68" customWidth="1"/>
    <col min="26" max="26" width="6.375" style="68" customWidth="1"/>
    <col min="27" max="27" width="7.00390625" style="68" customWidth="1"/>
    <col min="28" max="28" width="7.125" style="68" customWidth="1"/>
    <col min="29" max="29" width="5.125" style="68" customWidth="1"/>
    <col min="30" max="30" width="6.00390625" style="68" customWidth="1"/>
    <col min="31" max="31" width="7.25390625" style="68" customWidth="1"/>
    <col min="32" max="32" width="7.00390625" style="68" customWidth="1"/>
    <col min="33" max="16384" width="9.125" style="68" customWidth="1"/>
  </cols>
  <sheetData>
    <row r="1" spans="1:33" ht="15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6"/>
      <c r="AB1" s="115"/>
      <c r="AC1" s="115"/>
      <c r="AD1" s="115"/>
      <c r="AE1" s="115"/>
      <c r="AF1" s="116" t="s">
        <v>215</v>
      </c>
      <c r="AG1" s="115"/>
    </row>
    <row r="2" spans="1:33" ht="15.75">
      <c r="A2" s="380" t="s">
        <v>216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:33" ht="15.75">
      <c r="A3" s="380" t="s">
        <v>321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</row>
    <row r="4" spans="1:33" ht="15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52"/>
      <c r="L4" s="115"/>
      <c r="M4" s="115"/>
      <c r="N4" s="115"/>
      <c r="O4" s="115"/>
      <c r="P4" s="152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</row>
    <row r="5" spans="1:33" ht="12.75" customHeight="1">
      <c r="A5" s="117"/>
      <c r="B5" s="118"/>
      <c r="C5" s="119"/>
      <c r="D5" s="117"/>
      <c r="E5" s="117"/>
      <c r="F5" s="117"/>
      <c r="G5" s="117"/>
      <c r="H5" s="117"/>
      <c r="I5" s="117"/>
      <c r="J5" s="117"/>
      <c r="K5" s="120"/>
      <c r="L5" s="120"/>
      <c r="M5" s="117"/>
      <c r="N5" s="120"/>
      <c r="O5" s="117"/>
      <c r="P5" s="117"/>
      <c r="Q5" s="140"/>
      <c r="R5" s="119"/>
      <c r="S5" s="117"/>
      <c r="T5" s="117"/>
      <c r="U5" s="117"/>
      <c r="V5" s="117"/>
      <c r="W5" s="117"/>
      <c r="X5" s="117"/>
      <c r="Y5" s="117"/>
      <c r="Z5" s="120"/>
      <c r="AA5" s="120"/>
      <c r="AB5" s="117"/>
      <c r="AC5" s="120"/>
      <c r="AD5" s="117"/>
      <c r="AE5" s="117"/>
      <c r="AF5" s="117"/>
      <c r="AG5" s="117"/>
    </row>
    <row r="6" spans="1:33" ht="17.25" customHeight="1" thickBot="1">
      <c r="A6" s="117"/>
      <c r="B6" s="121"/>
      <c r="C6" s="119"/>
      <c r="D6" s="117"/>
      <c r="E6" s="117"/>
      <c r="F6" s="117"/>
      <c r="G6" s="117"/>
      <c r="H6" s="119"/>
      <c r="I6" s="117"/>
      <c r="J6" s="117"/>
      <c r="K6" s="117"/>
      <c r="L6" s="117"/>
      <c r="M6" s="117"/>
      <c r="N6" s="117"/>
      <c r="O6" s="117"/>
      <c r="P6" s="117"/>
      <c r="Q6" s="117"/>
      <c r="R6" s="119"/>
      <c r="S6" s="117"/>
      <c r="T6" s="117"/>
      <c r="U6" s="117"/>
      <c r="V6" s="117"/>
      <c r="W6" s="119"/>
      <c r="X6" s="117"/>
      <c r="Y6" s="117"/>
      <c r="Z6" s="117"/>
      <c r="AA6" s="117"/>
      <c r="AB6" s="117"/>
      <c r="AC6" s="117"/>
      <c r="AD6" s="117"/>
      <c r="AE6" s="117"/>
      <c r="AF6" s="117"/>
      <c r="AG6" s="117"/>
    </row>
    <row r="7" spans="1:33" ht="12.75" customHeight="1">
      <c r="A7" s="376" t="s">
        <v>121</v>
      </c>
      <c r="B7" s="378" t="s">
        <v>122</v>
      </c>
      <c r="C7" s="373" t="s">
        <v>314</v>
      </c>
      <c r="D7" s="374"/>
      <c r="E7" s="374"/>
      <c r="F7" s="374"/>
      <c r="G7" s="375"/>
      <c r="H7" s="373" t="s">
        <v>315</v>
      </c>
      <c r="I7" s="374"/>
      <c r="J7" s="374"/>
      <c r="K7" s="374"/>
      <c r="L7" s="375"/>
      <c r="M7" s="373" t="s">
        <v>316</v>
      </c>
      <c r="N7" s="374"/>
      <c r="O7" s="374"/>
      <c r="P7" s="374"/>
      <c r="Q7" s="375"/>
      <c r="R7" s="373" t="s">
        <v>322</v>
      </c>
      <c r="S7" s="374"/>
      <c r="T7" s="374"/>
      <c r="U7" s="374"/>
      <c r="V7" s="375"/>
      <c r="W7" s="373" t="s">
        <v>319</v>
      </c>
      <c r="X7" s="374"/>
      <c r="Y7" s="374"/>
      <c r="Z7" s="374"/>
      <c r="AA7" s="375"/>
      <c r="AB7" s="373" t="s">
        <v>320</v>
      </c>
      <c r="AC7" s="374"/>
      <c r="AD7" s="374"/>
      <c r="AE7" s="374"/>
      <c r="AF7" s="375"/>
      <c r="AG7" s="117"/>
    </row>
    <row r="8" spans="1:33" ht="25.5" customHeight="1" thickBot="1">
      <c r="A8" s="377"/>
      <c r="B8" s="379"/>
      <c r="C8" s="122" t="s">
        <v>123</v>
      </c>
      <c r="D8" s="123" t="s">
        <v>124</v>
      </c>
      <c r="E8" s="123" t="s">
        <v>125</v>
      </c>
      <c r="F8" s="123" t="s">
        <v>126</v>
      </c>
      <c r="G8" s="124" t="s">
        <v>127</v>
      </c>
      <c r="H8" s="122" t="s">
        <v>123</v>
      </c>
      <c r="I8" s="123" t="s">
        <v>124</v>
      </c>
      <c r="J8" s="123" t="s">
        <v>125</v>
      </c>
      <c r="K8" s="123" t="s">
        <v>126</v>
      </c>
      <c r="L8" s="124" t="s">
        <v>127</v>
      </c>
      <c r="M8" s="122" t="s">
        <v>123</v>
      </c>
      <c r="N8" s="123" t="s">
        <v>124</v>
      </c>
      <c r="O8" s="123" t="s">
        <v>125</v>
      </c>
      <c r="P8" s="123" t="s">
        <v>126</v>
      </c>
      <c r="Q8" s="124" t="s">
        <v>127</v>
      </c>
      <c r="R8" s="122" t="s">
        <v>123</v>
      </c>
      <c r="S8" s="123" t="s">
        <v>124</v>
      </c>
      <c r="T8" s="123" t="s">
        <v>125</v>
      </c>
      <c r="U8" s="123" t="s">
        <v>126</v>
      </c>
      <c r="V8" s="124" t="s">
        <v>127</v>
      </c>
      <c r="W8" s="122" t="s">
        <v>123</v>
      </c>
      <c r="X8" s="123" t="s">
        <v>124</v>
      </c>
      <c r="Y8" s="123" t="s">
        <v>125</v>
      </c>
      <c r="Z8" s="123" t="s">
        <v>126</v>
      </c>
      <c r="AA8" s="124" t="s">
        <v>127</v>
      </c>
      <c r="AB8" s="122" t="s">
        <v>123</v>
      </c>
      <c r="AC8" s="123" t="s">
        <v>124</v>
      </c>
      <c r="AD8" s="123" t="s">
        <v>125</v>
      </c>
      <c r="AE8" s="123" t="s">
        <v>126</v>
      </c>
      <c r="AF8" s="124" t="s">
        <v>127</v>
      </c>
      <c r="AG8" s="117"/>
    </row>
    <row r="9" spans="1:33" ht="12.75" customHeight="1" thickBot="1">
      <c r="A9" s="125">
        <v>1</v>
      </c>
      <c r="B9" s="126">
        <v>2</v>
      </c>
      <c r="C9" s="153">
        <v>3</v>
      </c>
      <c r="D9" s="154">
        <v>4</v>
      </c>
      <c r="E9" s="155">
        <v>5</v>
      </c>
      <c r="F9" s="154">
        <v>6</v>
      </c>
      <c r="G9" s="156">
        <v>7</v>
      </c>
      <c r="H9" s="153">
        <v>8</v>
      </c>
      <c r="I9" s="154">
        <v>9</v>
      </c>
      <c r="J9" s="155">
        <v>10</v>
      </c>
      <c r="K9" s="154">
        <v>11</v>
      </c>
      <c r="L9" s="156">
        <v>12</v>
      </c>
      <c r="M9" s="153">
        <v>13</v>
      </c>
      <c r="N9" s="154">
        <v>14</v>
      </c>
      <c r="O9" s="155">
        <v>15</v>
      </c>
      <c r="P9" s="154">
        <v>16</v>
      </c>
      <c r="Q9" s="156">
        <v>17</v>
      </c>
      <c r="R9" s="153">
        <v>18</v>
      </c>
      <c r="S9" s="154">
        <v>19</v>
      </c>
      <c r="T9" s="155">
        <v>20</v>
      </c>
      <c r="U9" s="154">
        <v>21</v>
      </c>
      <c r="V9" s="299">
        <v>22</v>
      </c>
      <c r="W9" s="300">
        <v>23</v>
      </c>
      <c r="X9" s="301">
        <v>24</v>
      </c>
      <c r="Y9" s="302">
        <v>25</v>
      </c>
      <c r="Z9" s="301">
        <v>26</v>
      </c>
      <c r="AA9" s="303">
        <v>27</v>
      </c>
      <c r="AB9" s="153">
        <v>28</v>
      </c>
      <c r="AC9" s="154">
        <v>29</v>
      </c>
      <c r="AD9" s="155">
        <v>30</v>
      </c>
      <c r="AE9" s="154">
        <v>31</v>
      </c>
      <c r="AF9" s="156">
        <v>32</v>
      </c>
      <c r="AG9" s="117"/>
    </row>
    <row r="10" spans="1:33" ht="24">
      <c r="A10" s="130" t="s">
        <v>128</v>
      </c>
      <c r="B10" s="157" t="s">
        <v>217</v>
      </c>
      <c r="C10" s="158">
        <v>5.428789561354804</v>
      </c>
      <c r="D10" s="159"/>
      <c r="E10" s="159"/>
      <c r="F10" s="159">
        <v>5.428789561354804</v>
      </c>
      <c r="G10" s="160"/>
      <c r="H10" s="158">
        <v>5.428789561354804</v>
      </c>
      <c r="I10" s="159"/>
      <c r="J10" s="159"/>
      <c r="K10" s="159">
        <v>5.428789561354804</v>
      </c>
      <c r="L10" s="160"/>
      <c r="M10" s="158">
        <v>5.428789561354804</v>
      </c>
      <c r="N10" s="159"/>
      <c r="O10" s="159"/>
      <c r="P10" s="159">
        <v>5.428789561354804</v>
      </c>
      <c r="Q10" s="160"/>
      <c r="R10" s="158">
        <f>'табл.1,4'!R10/7.204</f>
        <v>4.985471265963354</v>
      </c>
      <c r="S10" s="159"/>
      <c r="T10" s="159"/>
      <c r="U10" s="159">
        <f>'табл.1,4'!U10/7.204</f>
        <v>4.985471265963354</v>
      </c>
      <c r="V10" s="160"/>
      <c r="W10" s="158">
        <f>'табл.1,4'!W10/7.204*2</f>
        <v>4.479178789561355</v>
      </c>
      <c r="X10" s="159"/>
      <c r="Y10" s="159"/>
      <c r="Z10" s="159">
        <f>'табл.1,4'!Z10/7.204*2</f>
        <v>4.479178789561355</v>
      </c>
      <c r="AA10" s="160"/>
      <c r="AB10" s="158">
        <f>'табл.1,4'!AB10/7.204*2</f>
        <v>5.491763742365353</v>
      </c>
      <c r="AC10" s="159"/>
      <c r="AD10" s="159"/>
      <c r="AE10" s="159">
        <f>'табл.1,4'!AE10/7.204*2</f>
        <v>5.491763742365353</v>
      </c>
      <c r="AF10" s="160"/>
      <c r="AG10" s="117"/>
    </row>
    <row r="11" spans="1:33" ht="12.75" customHeight="1">
      <c r="A11" s="135" t="s">
        <v>130</v>
      </c>
      <c r="B11" s="161" t="s">
        <v>218</v>
      </c>
      <c r="C11" s="162">
        <v>5.428789561354804</v>
      </c>
      <c r="D11" s="163"/>
      <c r="E11" s="163"/>
      <c r="F11" s="163">
        <v>5.428789561354804</v>
      </c>
      <c r="G11" s="164"/>
      <c r="H11" s="162">
        <v>5.428789561354804</v>
      </c>
      <c r="I11" s="163"/>
      <c r="J11" s="163"/>
      <c r="K11" s="163">
        <v>5.428789561354804</v>
      </c>
      <c r="L11" s="164"/>
      <c r="M11" s="162">
        <v>5.428789561354804</v>
      </c>
      <c r="N11" s="163"/>
      <c r="O11" s="163"/>
      <c r="P11" s="163">
        <v>5.428789561354804</v>
      </c>
      <c r="Q11" s="164"/>
      <c r="R11" s="162">
        <f>'табл.1,4'!R11/7.204</f>
        <v>4.985471265963354</v>
      </c>
      <c r="S11" s="163"/>
      <c r="T11" s="163"/>
      <c r="U11" s="163">
        <f>'табл.1,4'!U11/7.204</f>
        <v>4.985471265963354</v>
      </c>
      <c r="V11" s="164">
        <f>'табл.1,4'!V11/7.204</f>
        <v>2.259995696835092</v>
      </c>
      <c r="W11" s="162">
        <f>'табл.1,4'!W11/7.204*2</f>
        <v>4.479178789561355</v>
      </c>
      <c r="X11" s="163"/>
      <c r="Y11" s="163"/>
      <c r="Z11" s="163">
        <f>'табл.1,4'!Z11/7.204*2</f>
        <v>4.479178789561355</v>
      </c>
      <c r="AA11" s="164">
        <f>'табл.1,4'!AA11/7.204*2</f>
        <v>2.3105252637423654</v>
      </c>
      <c r="AB11" s="162">
        <f>'табл.1,4'!AB11/7.204*2</f>
        <v>5.491763742365353</v>
      </c>
      <c r="AC11" s="163"/>
      <c r="AD11" s="163"/>
      <c r="AE11" s="163">
        <f>'табл.1,4'!AE11/7.204*2</f>
        <v>5.491763742365353</v>
      </c>
      <c r="AF11" s="164">
        <f>'табл.1,4'!AF11/7.204*2</f>
        <v>2.209466129927818</v>
      </c>
      <c r="AG11" s="117"/>
    </row>
    <row r="12" spans="1:33" ht="12.75" customHeight="1">
      <c r="A12" s="135"/>
      <c r="B12" s="304" t="s">
        <v>132</v>
      </c>
      <c r="C12" s="162"/>
      <c r="D12" s="163"/>
      <c r="E12" s="163"/>
      <c r="F12" s="163"/>
      <c r="G12" s="164"/>
      <c r="H12" s="162"/>
      <c r="I12" s="163"/>
      <c r="J12" s="163"/>
      <c r="K12" s="163"/>
      <c r="L12" s="164"/>
      <c r="M12" s="162"/>
      <c r="N12" s="163"/>
      <c r="O12" s="163"/>
      <c r="P12" s="163"/>
      <c r="Q12" s="164"/>
      <c r="R12" s="162"/>
      <c r="S12" s="163"/>
      <c r="T12" s="163"/>
      <c r="U12" s="163"/>
      <c r="V12" s="164"/>
      <c r="W12" s="162"/>
      <c r="X12" s="163"/>
      <c r="Y12" s="163"/>
      <c r="Z12" s="163"/>
      <c r="AA12" s="164"/>
      <c r="AB12" s="162"/>
      <c r="AC12" s="163"/>
      <c r="AD12" s="163"/>
      <c r="AE12" s="163"/>
      <c r="AF12" s="164"/>
      <c r="AG12" s="117"/>
    </row>
    <row r="13" spans="1:33" ht="12.75" customHeight="1">
      <c r="A13" s="135"/>
      <c r="B13" s="304" t="s">
        <v>124</v>
      </c>
      <c r="C13" s="162"/>
      <c r="D13" s="163"/>
      <c r="E13" s="163"/>
      <c r="F13" s="163"/>
      <c r="G13" s="164"/>
      <c r="H13" s="162"/>
      <c r="I13" s="163"/>
      <c r="J13" s="163"/>
      <c r="K13" s="163"/>
      <c r="L13" s="164"/>
      <c r="M13" s="162"/>
      <c r="N13" s="163"/>
      <c r="O13" s="163"/>
      <c r="P13" s="163"/>
      <c r="Q13" s="164"/>
      <c r="R13" s="162"/>
      <c r="S13" s="163"/>
      <c r="T13" s="163"/>
      <c r="U13" s="163"/>
      <c r="V13" s="164"/>
      <c r="W13" s="162"/>
      <c r="X13" s="163"/>
      <c r="Y13" s="163"/>
      <c r="Z13" s="163"/>
      <c r="AA13" s="164"/>
      <c r="AB13" s="162"/>
      <c r="AC13" s="163"/>
      <c r="AD13" s="163"/>
      <c r="AE13" s="163"/>
      <c r="AF13" s="164"/>
      <c r="AG13" s="117"/>
    </row>
    <row r="14" spans="1:33" ht="12.75" customHeight="1">
      <c r="A14" s="135"/>
      <c r="B14" s="304" t="s">
        <v>125</v>
      </c>
      <c r="C14" s="162"/>
      <c r="D14" s="163"/>
      <c r="E14" s="163"/>
      <c r="F14" s="163"/>
      <c r="G14" s="164"/>
      <c r="H14" s="162"/>
      <c r="I14" s="163"/>
      <c r="J14" s="163"/>
      <c r="K14" s="163"/>
      <c r="L14" s="164"/>
      <c r="M14" s="162"/>
      <c r="N14" s="163"/>
      <c r="O14" s="163"/>
      <c r="P14" s="163"/>
      <c r="Q14" s="164"/>
      <c r="R14" s="162"/>
      <c r="S14" s="163"/>
      <c r="T14" s="163"/>
      <c r="U14" s="163"/>
      <c r="V14" s="164"/>
      <c r="W14" s="162"/>
      <c r="X14" s="163"/>
      <c r="Y14" s="163"/>
      <c r="Z14" s="163"/>
      <c r="AA14" s="164"/>
      <c r="AB14" s="162"/>
      <c r="AC14" s="163"/>
      <c r="AD14" s="163"/>
      <c r="AE14" s="163"/>
      <c r="AF14" s="164"/>
      <c r="AG14" s="117"/>
    </row>
    <row r="15" spans="1:33" ht="12.75" customHeight="1">
      <c r="A15" s="135"/>
      <c r="B15" s="304" t="s">
        <v>133</v>
      </c>
      <c r="C15" s="162">
        <v>5.428789561354804</v>
      </c>
      <c r="D15" s="163"/>
      <c r="E15" s="163"/>
      <c r="F15" s="163">
        <v>5.428789561354804</v>
      </c>
      <c r="G15" s="164">
        <v>5.0946141032759575</v>
      </c>
      <c r="H15" s="162">
        <v>5.428789561354804</v>
      </c>
      <c r="I15" s="163"/>
      <c r="J15" s="163"/>
      <c r="K15" s="163">
        <v>5.428789561354804</v>
      </c>
      <c r="L15" s="164">
        <v>5.0946141032759575</v>
      </c>
      <c r="M15" s="162">
        <v>5.428789561354804</v>
      </c>
      <c r="N15" s="163"/>
      <c r="O15" s="163"/>
      <c r="P15" s="163">
        <v>5.428789561354804</v>
      </c>
      <c r="Q15" s="164">
        <v>5.0946141032759575</v>
      </c>
      <c r="R15" s="162">
        <f>'табл.1,4'!R15/7.204</f>
        <v>4.985471265963354</v>
      </c>
      <c r="S15" s="163"/>
      <c r="T15" s="163"/>
      <c r="U15" s="163">
        <f>'табл.1,4'!U15/7.204</f>
        <v>4.985471265963354</v>
      </c>
      <c r="V15" s="164">
        <f>'табл.1,4'!V15/7.204</f>
        <v>2.259995696835092</v>
      </c>
      <c r="W15" s="162">
        <f>'табл.1,4'!W15/7.204*2</f>
        <v>4.479178789561355</v>
      </c>
      <c r="X15" s="163"/>
      <c r="Y15" s="163"/>
      <c r="Z15" s="163">
        <f>'табл.1,4'!Z15/7.204*2</f>
        <v>4.479178789561355</v>
      </c>
      <c r="AA15" s="164">
        <f>'табл.1,4'!AA15/7.204*2</f>
        <v>2.3105252637423654</v>
      </c>
      <c r="AB15" s="162">
        <f>'табл.1,4'!AB15/7.204*2</f>
        <v>5.491763742365353</v>
      </c>
      <c r="AC15" s="163"/>
      <c r="AD15" s="163"/>
      <c r="AE15" s="163">
        <f>'табл.1,4'!AE15/7.204*2</f>
        <v>5.491763742365353</v>
      </c>
      <c r="AF15" s="164">
        <f>'табл.1,4'!AF15/7.204*2</f>
        <v>2.209466129927818</v>
      </c>
      <c r="AG15" s="117"/>
    </row>
    <row r="16" spans="1:33" ht="12.75" customHeight="1">
      <c r="A16" s="135" t="s">
        <v>134</v>
      </c>
      <c r="B16" s="161" t="s">
        <v>219</v>
      </c>
      <c r="C16" s="162"/>
      <c r="D16" s="163"/>
      <c r="E16" s="163"/>
      <c r="F16" s="163"/>
      <c r="G16" s="164"/>
      <c r="H16" s="162"/>
      <c r="I16" s="163"/>
      <c r="J16" s="163"/>
      <c r="K16" s="163"/>
      <c r="L16" s="164"/>
      <c r="M16" s="162"/>
      <c r="N16" s="163"/>
      <c r="O16" s="163"/>
      <c r="P16" s="163"/>
      <c r="Q16" s="164"/>
      <c r="R16" s="162"/>
      <c r="S16" s="163"/>
      <c r="T16" s="163"/>
      <c r="U16" s="163"/>
      <c r="V16" s="164"/>
      <c r="W16" s="162"/>
      <c r="X16" s="163"/>
      <c r="Y16" s="163"/>
      <c r="Z16" s="163"/>
      <c r="AA16" s="164"/>
      <c r="AB16" s="162"/>
      <c r="AC16" s="163"/>
      <c r="AD16" s="163"/>
      <c r="AE16" s="163"/>
      <c r="AF16" s="164"/>
      <c r="AG16" s="117"/>
    </row>
    <row r="17" spans="1:33" ht="24">
      <c r="A17" s="135" t="s">
        <v>202</v>
      </c>
      <c r="B17" s="161" t="s">
        <v>136</v>
      </c>
      <c r="C17" s="162"/>
      <c r="D17" s="163"/>
      <c r="E17" s="163"/>
      <c r="F17" s="163"/>
      <c r="G17" s="164"/>
      <c r="H17" s="162"/>
      <c r="I17" s="163"/>
      <c r="J17" s="163"/>
      <c r="K17" s="163"/>
      <c r="L17" s="164"/>
      <c r="M17" s="162"/>
      <c r="N17" s="163"/>
      <c r="O17" s="163"/>
      <c r="P17" s="163"/>
      <c r="Q17" s="164"/>
      <c r="R17" s="162"/>
      <c r="S17" s="163"/>
      <c r="T17" s="163"/>
      <c r="U17" s="163"/>
      <c r="V17" s="164"/>
      <c r="W17" s="162"/>
      <c r="X17" s="163"/>
      <c r="Y17" s="163"/>
      <c r="Z17" s="163"/>
      <c r="AA17" s="164"/>
      <c r="AB17" s="162"/>
      <c r="AC17" s="163"/>
      <c r="AD17" s="163"/>
      <c r="AE17" s="163"/>
      <c r="AF17" s="164"/>
      <c r="AG17" s="117"/>
    </row>
    <row r="18" spans="1:33" ht="12.75" customHeight="1">
      <c r="A18" s="135" t="s">
        <v>137</v>
      </c>
      <c r="B18" s="161" t="s">
        <v>220</v>
      </c>
      <c r="C18" s="162"/>
      <c r="D18" s="163"/>
      <c r="E18" s="163"/>
      <c r="F18" s="163"/>
      <c r="G18" s="164"/>
      <c r="H18" s="162"/>
      <c r="I18" s="163"/>
      <c r="J18" s="163"/>
      <c r="K18" s="163"/>
      <c r="L18" s="164"/>
      <c r="M18" s="162"/>
      <c r="N18" s="163"/>
      <c r="O18" s="163"/>
      <c r="P18" s="163"/>
      <c r="Q18" s="164"/>
      <c r="R18" s="162"/>
      <c r="S18" s="163"/>
      <c r="T18" s="163"/>
      <c r="U18" s="163"/>
      <c r="V18" s="305"/>
      <c r="W18" s="162"/>
      <c r="X18" s="163"/>
      <c r="Y18" s="163"/>
      <c r="Z18" s="163"/>
      <c r="AA18" s="164"/>
      <c r="AB18" s="162"/>
      <c r="AC18" s="163"/>
      <c r="AD18" s="163"/>
      <c r="AE18" s="163"/>
      <c r="AF18" s="164"/>
      <c r="AG18" s="117"/>
    </row>
    <row r="19" spans="1:33" ht="12.75" customHeight="1">
      <c r="A19" s="130" t="s">
        <v>204</v>
      </c>
      <c r="B19" s="157" t="s">
        <v>227</v>
      </c>
      <c r="C19" s="162">
        <v>0.8691560244308718</v>
      </c>
      <c r="D19" s="163"/>
      <c r="E19" s="163"/>
      <c r="F19" s="163">
        <v>0.3341754580788451</v>
      </c>
      <c r="G19" s="164">
        <v>0.5349805663520267</v>
      </c>
      <c r="H19" s="162">
        <v>0.8691560244308718</v>
      </c>
      <c r="I19" s="163"/>
      <c r="J19" s="163"/>
      <c r="K19" s="163">
        <v>0.3341754580788451</v>
      </c>
      <c r="L19" s="164">
        <v>0.5349805663520267</v>
      </c>
      <c r="M19" s="162">
        <v>0.8691560244308718</v>
      </c>
      <c r="N19" s="163"/>
      <c r="O19" s="163"/>
      <c r="P19" s="163">
        <v>0.3341754580788451</v>
      </c>
      <c r="Q19" s="164">
        <v>0.5349805663520267</v>
      </c>
      <c r="R19" s="162">
        <f>'табл.1,4'!R19/7.204</f>
        <v>0.49776957245974457</v>
      </c>
      <c r="S19" s="163"/>
      <c r="T19" s="163"/>
      <c r="U19" s="163">
        <f>'табл.1,4'!U19/7.204</f>
        <v>0.23893045530260967</v>
      </c>
      <c r="V19" s="164">
        <f>'табл.1,4'!V19/7.204</f>
        <v>0.2588391171571349</v>
      </c>
      <c r="W19" s="162">
        <f>'табл.1,4'!W19/7.204*2</f>
        <v>0.49935313714603</v>
      </c>
      <c r="X19" s="163"/>
      <c r="Y19" s="163"/>
      <c r="Z19" s="163">
        <f>'табл.1,4'!Z19/7.204*2</f>
        <v>0.21655691282620768</v>
      </c>
      <c r="AA19" s="164">
        <f>'табл.1,4'!AA19/7.204*2</f>
        <v>0.2827962243198223</v>
      </c>
      <c r="AB19" s="162">
        <f>'табл.1,4'!AB19/7.204*2</f>
        <v>0.4961860077734591</v>
      </c>
      <c r="AC19" s="163"/>
      <c r="AD19" s="163"/>
      <c r="AE19" s="163">
        <f>'табл.1,4'!AE19/7.204*2</f>
        <v>0.26130399777901164</v>
      </c>
      <c r="AF19" s="164">
        <f>'табл.1,4'!AF19/7.204*2</f>
        <v>0.23488200999444753</v>
      </c>
      <c r="AG19" s="117"/>
    </row>
    <row r="20" spans="1:33" ht="12.75" customHeight="1">
      <c r="A20" s="135"/>
      <c r="B20" s="161" t="s">
        <v>221</v>
      </c>
      <c r="C20" s="165">
        <v>0.1601</v>
      </c>
      <c r="D20" s="166"/>
      <c r="E20" s="166"/>
      <c r="F20" s="166">
        <v>0.0617000000000001</v>
      </c>
      <c r="G20" s="167">
        <v>0.1049</v>
      </c>
      <c r="H20" s="165">
        <v>0.1601</v>
      </c>
      <c r="I20" s="166"/>
      <c r="J20" s="166"/>
      <c r="K20" s="166">
        <v>0.0617000000000001</v>
      </c>
      <c r="L20" s="167">
        <v>0.1049</v>
      </c>
      <c r="M20" s="165">
        <v>0.1601</v>
      </c>
      <c r="N20" s="166"/>
      <c r="O20" s="166"/>
      <c r="P20" s="166">
        <v>0.0617000000000001</v>
      </c>
      <c r="Q20" s="167">
        <v>0.1049</v>
      </c>
      <c r="R20" s="165">
        <f>R19/R15</f>
        <v>0.09984403598073079</v>
      </c>
      <c r="S20" s="166"/>
      <c r="T20" s="166"/>
      <c r="U20" s="166">
        <f>U19/U15</f>
        <v>0.04792534999325497</v>
      </c>
      <c r="V20" s="167">
        <f>V19/V15</f>
        <v>0.11453080088586647</v>
      </c>
      <c r="W20" s="165">
        <f>W19/W15</f>
        <v>0.11148318935376356</v>
      </c>
      <c r="X20" s="166"/>
      <c r="Y20" s="166"/>
      <c r="Z20" s="166">
        <f>Z19/Z15</f>
        <v>0.04834745898754692</v>
      </c>
      <c r="AA20" s="167">
        <f>AA19/AA15</f>
        <v>0.12239477696157121</v>
      </c>
      <c r="AB20" s="165">
        <f>AB19/AB15</f>
        <v>0.09035093843271329</v>
      </c>
      <c r="AC20" s="166"/>
      <c r="AD20" s="166"/>
      <c r="AE20" s="166">
        <f>AE19/AE15</f>
        <v>0.047581070497119675</v>
      </c>
      <c r="AF20" s="167">
        <f>AF19/AF15</f>
        <v>0.1063071331182257</v>
      </c>
      <c r="AG20" s="117"/>
    </row>
    <row r="21" spans="1:33" ht="25.5" customHeight="1">
      <c r="A21" s="130" t="s">
        <v>206</v>
      </c>
      <c r="B21" s="168" t="s">
        <v>222</v>
      </c>
      <c r="C21" s="162">
        <v>0</v>
      </c>
      <c r="D21" s="163"/>
      <c r="E21" s="163"/>
      <c r="F21" s="163"/>
      <c r="G21" s="164"/>
      <c r="H21" s="162">
        <v>0</v>
      </c>
      <c r="I21" s="163"/>
      <c r="J21" s="163"/>
      <c r="K21" s="163"/>
      <c r="L21" s="164"/>
      <c r="M21" s="162">
        <v>0</v>
      </c>
      <c r="N21" s="163"/>
      <c r="O21" s="163"/>
      <c r="P21" s="163"/>
      <c r="Q21" s="164"/>
      <c r="R21" s="162">
        <v>0</v>
      </c>
      <c r="S21" s="163"/>
      <c r="T21" s="163"/>
      <c r="U21" s="163"/>
      <c r="V21" s="164"/>
      <c r="W21" s="162">
        <v>0</v>
      </c>
      <c r="X21" s="163"/>
      <c r="Y21" s="163"/>
      <c r="Z21" s="163"/>
      <c r="AA21" s="164"/>
      <c r="AB21" s="162">
        <v>0</v>
      </c>
      <c r="AC21" s="163"/>
      <c r="AD21" s="163"/>
      <c r="AE21" s="163"/>
      <c r="AF21" s="164"/>
      <c r="AG21" s="117"/>
    </row>
    <row r="22" spans="1:33" ht="24">
      <c r="A22" s="130" t="s">
        <v>208</v>
      </c>
      <c r="B22" s="157" t="s">
        <v>223</v>
      </c>
      <c r="C22" s="162">
        <v>4.559689061632427</v>
      </c>
      <c r="D22" s="163"/>
      <c r="E22" s="163"/>
      <c r="F22" s="163"/>
      <c r="G22" s="164">
        <v>4.559689061632427</v>
      </c>
      <c r="H22" s="162">
        <v>4.559689061632427</v>
      </c>
      <c r="I22" s="163"/>
      <c r="J22" s="163"/>
      <c r="K22" s="163"/>
      <c r="L22" s="164">
        <v>4.559689061632427</v>
      </c>
      <c r="M22" s="162">
        <v>4.559689061632427</v>
      </c>
      <c r="N22" s="163"/>
      <c r="O22" s="163"/>
      <c r="P22" s="163"/>
      <c r="Q22" s="164">
        <v>4.559689061632427</v>
      </c>
      <c r="R22" s="162">
        <f>'табл.1,4'!R22/7.204</f>
        <v>4.487704469739034</v>
      </c>
      <c r="S22" s="163"/>
      <c r="T22" s="163"/>
      <c r="U22" s="163">
        <f>'табл.1,4'!U22/7.204</f>
        <v>2.4865451138256525</v>
      </c>
      <c r="V22" s="164">
        <f>'табл.1,4'!V22/7.204</f>
        <v>2.0011593559133813</v>
      </c>
      <c r="W22" s="162">
        <f>'табл.1,4'!W22/7.204*2</f>
        <v>3.9798256524153253</v>
      </c>
      <c r="X22" s="163"/>
      <c r="Y22" s="163"/>
      <c r="Z22" s="163">
        <f>'табл.1,4'!Z22/7.204*2</f>
        <v>1.9520966129927817</v>
      </c>
      <c r="AA22" s="164">
        <f>'табл.1,4'!AA22/7.204*2</f>
        <v>2.0277290394225433</v>
      </c>
      <c r="AB22" s="162">
        <f>'табл.1,4'!AB22/7.204*2</f>
        <v>4.995583287062742</v>
      </c>
      <c r="AC22" s="163"/>
      <c r="AD22" s="163"/>
      <c r="AE22" s="163">
        <f>'табл.1,4'!AE22/7.204*2</f>
        <v>3.020993614658523</v>
      </c>
      <c r="AF22" s="164">
        <f>'табл.1,4'!AF22/7.204*2</f>
        <v>1.9745896724042198</v>
      </c>
      <c r="AG22" s="117"/>
    </row>
    <row r="23" spans="1:33" ht="60">
      <c r="A23" s="135" t="s">
        <v>139</v>
      </c>
      <c r="B23" s="161" t="s">
        <v>224</v>
      </c>
      <c r="C23" s="162"/>
      <c r="D23" s="163"/>
      <c r="E23" s="163"/>
      <c r="F23" s="163"/>
      <c r="G23" s="164">
        <v>2.869516935036091</v>
      </c>
      <c r="H23" s="162"/>
      <c r="I23" s="163"/>
      <c r="J23" s="163"/>
      <c r="K23" s="163"/>
      <c r="L23" s="164">
        <v>2.869516935036091</v>
      </c>
      <c r="M23" s="162"/>
      <c r="N23" s="163"/>
      <c r="O23" s="163"/>
      <c r="P23" s="163"/>
      <c r="Q23" s="164">
        <v>2.869516935036091</v>
      </c>
      <c r="R23" s="162"/>
      <c r="S23" s="163"/>
      <c r="T23" s="163"/>
      <c r="U23" s="163">
        <f>'табл.1,4'!U23/7.204</f>
        <v>0.669537895613548</v>
      </c>
      <c r="V23" s="164">
        <f>'табл.1,4'!V23/7.204</f>
        <v>2.0011593559133813</v>
      </c>
      <c r="W23" s="162"/>
      <c r="X23" s="163"/>
      <c r="Y23" s="163"/>
      <c r="Z23" s="163">
        <f>'табл.1,4'!Z23/7.204*2</f>
        <v>0.6773214880621877</v>
      </c>
      <c r="AA23" s="164">
        <f>'табл.1,4'!AA23/7.204*2</f>
        <v>2.0277290394225433</v>
      </c>
      <c r="AB23" s="162"/>
      <c r="AC23" s="163"/>
      <c r="AD23" s="163"/>
      <c r="AE23" s="163">
        <f>'табл.1,4'!AE23/7.204*2</f>
        <v>0.6617543031649084</v>
      </c>
      <c r="AF23" s="164">
        <f>'табл.1,4'!AF23/7.204*2</f>
        <v>1.9745896724042198</v>
      </c>
      <c r="AG23" s="117"/>
    </row>
    <row r="24" spans="1:33" ht="24">
      <c r="A24" s="135"/>
      <c r="B24" s="161" t="s">
        <v>225</v>
      </c>
      <c r="C24" s="162"/>
      <c r="D24" s="163"/>
      <c r="E24" s="163"/>
      <c r="F24" s="163"/>
      <c r="G24" s="164"/>
      <c r="H24" s="162"/>
      <c r="I24" s="163"/>
      <c r="J24" s="163"/>
      <c r="K24" s="163"/>
      <c r="L24" s="164"/>
      <c r="M24" s="162"/>
      <c r="N24" s="163"/>
      <c r="O24" s="163"/>
      <c r="P24" s="163"/>
      <c r="Q24" s="164"/>
      <c r="R24" s="162"/>
      <c r="S24" s="163"/>
      <c r="T24" s="163"/>
      <c r="U24" s="163"/>
      <c r="V24" s="164"/>
      <c r="W24" s="162"/>
      <c r="X24" s="163"/>
      <c r="Y24" s="163"/>
      <c r="Z24" s="163"/>
      <c r="AA24" s="164"/>
      <c r="AB24" s="162"/>
      <c r="AC24" s="163"/>
      <c r="AD24" s="163"/>
      <c r="AE24" s="163"/>
      <c r="AF24" s="164"/>
      <c r="AG24" s="117"/>
    </row>
    <row r="25" spans="1:33" ht="24">
      <c r="A25" s="135"/>
      <c r="B25" s="161" t="s">
        <v>212</v>
      </c>
      <c r="C25" s="162"/>
      <c r="D25" s="163"/>
      <c r="E25" s="163"/>
      <c r="F25" s="163"/>
      <c r="G25" s="164"/>
      <c r="H25" s="162"/>
      <c r="I25" s="163"/>
      <c r="J25" s="163"/>
      <c r="K25" s="163"/>
      <c r="L25" s="164"/>
      <c r="M25" s="162"/>
      <c r="N25" s="163"/>
      <c r="O25" s="163"/>
      <c r="P25" s="163"/>
      <c r="Q25" s="164"/>
      <c r="R25" s="162"/>
      <c r="S25" s="163"/>
      <c r="T25" s="163"/>
      <c r="U25" s="163"/>
      <c r="V25" s="164"/>
      <c r="W25" s="162"/>
      <c r="X25" s="163"/>
      <c r="Y25" s="163"/>
      <c r="Z25" s="163"/>
      <c r="AA25" s="164"/>
      <c r="AB25" s="162"/>
      <c r="AC25" s="163"/>
      <c r="AD25" s="163"/>
      <c r="AE25" s="163"/>
      <c r="AF25" s="164"/>
      <c r="AG25" s="117"/>
    </row>
    <row r="26" spans="1:33" ht="12.75" customHeight="1" thickBot="1">
      <c r="A26" s="147" t="s">
        <v>142</v>
      </c>
      <c r="B26" s="169" t="s">
        <v>226</v>
      </c>
      <c r="C26" s="170"/>
      <c r="D26" s="171"/>
      <c r="E26" s="171"/>
      <c r="F26" s="171"/>
      <c r="G26" s="172">
        <v>1.6901721265963354</v>
      </c>
      <c r="H26" s="170"/>
      <c r="I26" s="171"/>
      <c r="J26" s="171"/>
      <c r="K26" s="171"/>
      <c r="L26" s="172">
        <v>1.6901721265963354</v>
      </c>
      <c r="M26" s="170"/>
      <c r="N26" s="171"/>
      <c r="O26" s="171"/>
      <c r="P26" s="171"/>
      <c r="Q26" s="172">
        <v>1.6901721265963354</v>
      </c>
      <c r="R26" s="170"/>
      <c r="S26" s="171"/>
      <c r="T26" s="171"/>
      <c r="U26" s="171">
        <f>'табл.1,4'!U28/7.204</f>
        <v>1.8170072182121044</v>
      </c>
      <c r="V26" s="172"/>
      <c r="W26" s="170"/>
      <c r="X26" s="171"/>
      <c r="Y26" s="171"/>
      <c r="Z26" s="171">
        <f>'табл.1,4'!Z28/7.204*2</f>
        <v>1.274775124930594</v>
      </c>
      <c r="AA26" s="172"/>
      <c r="AB26" s="170"/>
      <c r="AC26" s="171"/>
      <c r="AD26" s="171"/>
      <c r="AE26" s="171">
        <f>'табл.1,4'!AE28/7.204*2</f>
        <v>2.359239311493615</v>
      </c>
      <c r="AF26" s="172"/>
      <c r="AG26" s="117"/>
    </row>
    <row r="27" spans="1:33" ht="12.75" customHeight="1" thickBot="1">
      <c r="A27" s="117"/>
      <c r="B27" s="118"/>
      <c r="C27" s="119"/>
      <c r="D27" s="117"/>
      <c r="E27" s="117"/>
      <c r="F27" s="117"/>
      <c r="G27" s="117"/>
      <c r="H27" s="119"/>
      <c r="I27" s="117"/>
      <c r="J27" s="117"/>
      <c r="K27" s="117"/>
      <c r="L27" s="117"/>
      <c r="M27" s="117"/>
      <c r="N27" s="117"/>
      <c r="O27" s="117"/>
      <c r="P27" s="117"/>
      <c r="Q27" s="117"/>
      <c r="R27" s="119"/>
      <c r="S27" s="117"/>
      <c r="T27" s="117"/>
      <c r="U27" s="117"/>
      <c r="V27" s="117"/>
      <c r="W27" s="119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</row>
    <row r="28" spans="1:33" ht="12.75" customHeight="1">
      <c r="A28" s="376" t="s">
        <v>121</v>
      </c>
      <c r="B28" s="378" t="s">
        <v>122</v>
      </c>
      <c r="C28" s="373" t="s">
        <v>317</v>
      </c>
      <c r="D28" s="374"/>
      <c r="E28" s="374"/>
      <c r="F28" s="374"/>
      <c r="G28" s="375"/>
      <c r="H28" s="373" t="s">
        <v>262</v>
      </c>
      <c r="I28" s="374"/>
      <c r="J28" s="374"/>
      <c r="K28" s="374"/>
      <c r="L28" s="375"/>
      <c r="M28" s="373" t="s">
        <v>313</v>
      </c>
      <c r="N28" s="374"/>
      <c r="O28" s="374"/>
      <c r="P28" s="374"/>
      <c r="Q28" s="375"/>
      <c r="R28" s="373" t="s">
        <v>349</v>
      </c>
      <c r="S28" s="374"/>
      <c r="T28" s="374"/>
      <c r="U28" s="374"/>
      <c r="V28" s="375"/>
      <c r="W28" s="373" t="s">
        <v>324</v>
      </c>
      <c r="X28" s="374"/>
      <c r="Y28" s="374"/>
      <c r="Z28" s="374"/>
      <c r="AA28" s="375"/>
      <c r="AB28" s="373" t="s">
        <v>325</v>
      </c>
      <c r="AC28" s="374"/>
      <c r="AD28" s="374"/>
      <c r="AE28" s="374"/>
      <c r="AF28" s="375"/>
      <c r="AG28" s="117"/>
    </row>
    <row r="29" spans="1:32" ht="12.75" customHeight="1" thickBot="1">
      <c r="A29" s="377"/>
      <c r="B29" s="379"/>
      <c r="C29" s="122" t="s">
        <v>123</v>
      </c>
      <c r="D29" s="123" t="s">
        <v>124</v>
      </c>
      <c r="E29" s="123" t="s">
        <v>125</v>
      </c>
      <c r="F29" s="123" t="s">
        <v>126</v>
      </c>
      <c r="G29" s="124" t="s">
        <v>127</v>
      </c>
      <c r="H29" s="122" t="s">
        <v>123</v>
      </c>
      <c r="I29" s="123" t="s">
        <v>124</v>
      </c>
      <c r="J29" s="123" t="s">
        <v>125</v>
      </c>
      <c r="K29" s="123" t="s">
        <v>126</v>
      </c>
      <c r="L29" s="124" t="s">
        <v>127</v>
      </c>
      <c r="M29" s="122" t="s">
        <v>123</v>
      </c>
      <c r="N29" s="123" t="s">
        <v>124</v>
      </c>
      <c r="O29" s="123" t="s">
        <v>125</v>
      </c>
      <c r="P29" s="123" t="s">
        <v>126</v>
      </c>
      <c r="Q29" s="124" t="s">
        <v>127</v>
      </c>
      <c r="R29" s="122" t="s">
        <v>123</v>
      </c>
      <c r="S29" s="123" t="s">
        <v>124</v>
      </c>
      <c r="T29" s="123" t="s">
        <v>125</v>
      </c>
      <c r="U29" s="123" t="s">
        <v>126</v>
      </c>
      <c r="V29" s="124" t="s">
        <v>127</v>
      </c>
      <c r="W29" s="122" t="s">
        <v>123</v>
      </c>
      <c r="X29" s="123" t="s">
        <v>124</v>
      </c>
      <c r="Y29" s="123" t="s">
        <v>125</v>
      </c>
      <c r="Z29" s="123" t="s">
        <v>126</v>
      </c>
      <c r="AA29" s="124" t="s">
        <v>127</v>
      </c>
      <c r="AB29" s="122" t="s">
        <v>123</v>
      </c>
      <c r="AC29" s="123" t="s">
        <v>124</v>
      </c>
      <c r="AD29" s="123" t="s">
        <v>125</v>
      </c>
      <c r="AE29" s="123" t="s">
        <v>126</v>
      </c>
      <c r="AF29" s="124" t="s">
        <v>127</v>
      </c>
    </row>
    <row r="30" spans="1:32" ht="16.5" thickBot="1">
      <c r="A30" s="125">
        <v>1</v>
      </c>
      <c r="B30" s="126">
        <v>2</v>
      </c>
      <c r="C30" s="153">
        <v>18</v>
      </c>
      <c r="D30" s="154">
        <v>19</v>
      </c>
      <c r="E30" s="155">
        <v>20</v>
      </c>
      <c r="F30" s="154">
        <v>21</v>
      </c>
      <c r="G30" s="156">
        <v>22</v>
      </c>
      <c r="H30" s="153">
        <v>23</v>
      </c>
      <c r="I30" s="154">
        <v>24</v>
      </c>
      <c r="J30" s="155">
        <v>25</v>
      </c>
      <c r="K30" s="154">
        <v>26</v>
      </c>
      <c r="L30" s="156">
        <v>27</v>
      </c>
      <c r="M30" s="153">
        <v>28</v>
      </c>
      <c r="N30" s="154">
        <v>29</v>
      </c>
      <c r="O30" s="155">
        <v>30</v>
      </c>
      <c r="P30" s="154">
        <v>31</v>
      </c>
      <c r="Q30" s="156">
        <v>32</v>
      </c>
      <c r="R30" s="153">
        <v>18</v>
      </c>
      <c r="S30" s="154">
        <v>19</v>
      </c>
      <c r="T30" s="155">
        <v>20</v>
      </c>
      <c r="U30" s="154">
        <v>21</v>
      </c>
      <c r="V30" s="156">
        <v>22</v>
      </c>
      <c r="W30" s="153">
        <v>23</v>
      </c>
      <c r="X30" s="154">
        <v>24</v>
      </c>
      <c r="Y30" s="155">
        <v>25</v>
      </c>
      <c r="Z30" s="154">
        <v>26</v>
      </c>
      <c r="AA30" s="156">
        <v>27</v>
      </c>
      <c r="AB30" s="153">
        <v>28</v>
      </c>
      <c r="AC30" s="154">
        <v>29</v>
      </c>
      <c r="AD30" s="155">
        <v>30</v>
      </c>
      <c r="AE30" s="154">
        <v>31</v>
      </c>
      <c r="AF30" s="156">
        <v>32</v>
      </c>
    </row>
    <row r="31" spans="1:32" ht="24">
      <c r="A31" s="130" t="s">
        <v>128</v>
      </c>
      <c r="B31" s="157" t="s">
        <v>217</v>
      </c>
      <c r="C31" s="259">
        <f>'табл.1,4'!C33/7.204</f>
        <v>4.615907828983898</v>
      </c>
      <c r="D31" s="260"/>
      <c r="E31" s="260"/>
      <c r="F31" s="260">
        <f>'табл.1,4'!F33/7.204</f>
        <v>4.615907828983898</v>
      </c>
      <c r="G31" s="261"/>
      <c r="H31" s="259">
        <f>'табл.1,4'!H33/7.204*2</f>
        <v>4.876735147140478</v>
      </c>
      <c r="I31" s="260"/>
      <c r="J31" s="260"/>
      <c r="K31" s="260">
        <f>'табл.1,4'!K33/7.204*2</f>
        <v>4.876735147140478</v>
      </c>
      <c r="L31" s="261"/>
      <c r="M31" s="259">
        <f>'табл.1,4'!M33/7.204*2</f>
        <v>4.355080510827318</v>
      </c>
      <c r="N31" s="260"/>
      <c r="O31" s="260"/>
      <c r="P31" s="260">
        <f>'табл.1,4'!P33/7.204*2</f>
        <v>4.355080510827318</v>
      </c>
      <c r="Q31" s="261"/>
      <c r="R31" s="259">
        <f>'табл.1,4'!R33/7.204</f>
        <v>4.954956905972214</v>
      </c>
      <c r="S31" s="260"/>
      <c r="T31" s="260"/>
      <c r="U31" s="260">
        <f>'табл.1,4'!U33/7.204</f>
        <v>4.954956905972214</v>
      </c>
      <c r="V31" s="261"/>
      <c r="W31" s="259">
        <f>'табл.1,4'!W33/7.204*2</f>
        <v>4.876735147140478</v>
      </c>
      <c r="X31" s="260"/>
      <c r="Y31" s="260"/>
      <c r="Z31" s="260">
        <f>'табл.1,4'!Z33/7.204*2</f>
        <v>4.876735147140478</v>
      </c>
      <c r="AA31" s="261"/>
      <c r="AB31" s="259">
        <f>'табл.1,4'!AB33/7.204*2</f>
        <v>5.03317866480395</v>
      </c>
      <c r="AC31" s="260"/>
      <c r="AD31" s="260"/>
      <c r="AE31" s="260">
        <f>'табл.1,4'!AE33/7.204*2</f>
        <v>5.03317866480395</v>
      </c>
      <c r="AF31" s="261"/>
    </row>
    <row r="32" spans="1:32" ht="15.75">
      <c r="A32" s="135" t="s">
        <v>130</v>
      </c>
      <c r="B32" s="161" t="s">
        <v>218</v>
      </c>
      <c r="C32" s="264">
        <f>'табл.1,4'!C34/7.204</f>
        <v>4.615907828983898</v>
      </c>
      <c r="D32" s="262"/>
      <c r="E32" s="262"/>
      <c r="F32" s="262">
        <f>'табл.1,4'!F34/7.204</f>
        <v>4.615907828983898</v>
      </c>
      <c r="G32" s="263"/>
      <c r="H32" s="264">
        <f>'табл.1,4'!H34/7.204*2</f>
        <v>4.876735147140478</v>
      </c>
      <c r="I32" s="262"/>
      <c r="J32" s="262"/>
      <c r="K32" s="262">
        <f>'табл.1,4'!K34/7.204*2</f>
        <v>4.876735147140478</v>
      </c>
      <c r="L32" s="263"/>
      <c r="M32" s="264">
        <f>'табл.1,4'!M34/7.204*2</f>
        <v>4.355080510827318</v>
      </c>
      <c r="N32" s="262"/>
      <c r="O32" s="262"/>
      <c r="P32" s="262">
        <f>'табл.1,4'!P34/7.204*2</f>
        <v>4.355080510827318</v>
      </c>
      <c r="Q32" s="263"/>
      <c r="R32" s="264">
        <f>'табл.1,4'!R34/7.204</f>
        <v>4.954956905972214</v>
      </c>
      <c r="S32" s="262"/>
      <c r="T32" s="262"/>
      <c r="U32" s="262">
        <f>'табл.1,4'!U34/7.204</f>
        <v>4.954956905972214</v>
      </c>
      <c r="V32" s="263"/>
      <c r="W32" s="264">
        <f>'табл.1,4'!W34/7.204*2</f>
        <v>4.876735147140478</v>
      </c>
      <c r="X32" s="262"/>
      <c r="Y32" s="262"/>
      <c r="Z32" s="262">
        <f>'табл.1,4'!Z34/7.204*2</f>
        <v>4.876735147140478</v>
      </c>
      <c r="AA32" s="263"/>
      <c r="AB32" s="264">
        <f>'табл.1,4'!AB34/7.204*2</f>
        <v>5.03317866480395</v>
      </c>
      <c r="AC32" s="262"/>
      <c r="AD32" s="262"/>
      <c r="AE32" s="262">
        <f>'табл.1,4'!AE34/7.204*2</f>
        <v>5.03317866480395</v>
      </c>
      <c r="AF32" s="263"/>
    </row>
    <row r="33" spans="1:32" ht="15.75">
      <c r="A33" s="135"/>
      <c r="B33" s="304" t="s">
        <v>132</v>
      </c>
      <c r="C33" s="264"/>
      <c r="D33" s="262"/>
      <c r="E33" s="262"/>
      <c r="F33" s="262"/>
      <c r="G33" s="263"/>
      <c r="H33" s="264"/>
      <c r="I33" s="262"/>
      <c r="J33" s="262"/>
      <c r="K33" s="262"/>
      <c r="L33" s="263"/>
      <c r="M33" s="264"/>
      <c r="N33" s="262"/>
      <c r="O33" s="262"/>
      <c r="P33" s="262"/>
      <c r="Q33" s="263"/>
      <c r="R33" s="264"/>
      <c r="S33" s="262"/>
      <c r="T33" s="262"/>
      <c r="U33" s="262"/>
      <c r="V33" s="263"/>
      <c r="W33" s="264"/>
      <c r="X33" s="262"/>
      <c r="Y33" s="262"/>
      <c r="Z33" s="262"/>
      <c r="AA33" s="263"/>
      <c r="AB33" s="264"/>
      <c r="AC33" s="262"/>
      <c r="AD33" s="262"/>
      <c r="AE33" s="262"/>
      <c r="AF33" s="263"/>
    </row>
    <row r="34" spans="1:32" ht="15.75">
      <c r="A34" s="135"/>
      <c r="B34" s="304" t="s">
        <v>124</v>
      </c>
      <c r="C34" s="264"/>
      <c r="D34" s="262"/>
      <c r="E34" s="262"/>
      <c r="F34" s="262"/>
      <c r="G34" s="263"/>
      <c r="H34" s="264"/>
      <c r="I34" s="262"/>
      <c r="J34" s="262"/>
      <c r="K34" s="262"/>
      <c r="L34" s="263"/>
      <c r="M34" s="264"/>
      <c r="N34" s="262"/>
      <c r="O34" s="262"/>
      <c r="P34" s="262"/>
      <c r="Q34" s="263"/>
      <c r="R34" s="264"/>
      <c r="S34" s="262"/>
      <c r="T34" s="262"/>
      <c r="U34" s="262"/>
      <c r="V34" s="263"/>
      <c r="W34" s="264"/>
      <c r="X34" s="262"/>
      <c r="Y34" s="262"/>
      <c r="Z34" s="262"/>
      <c r="AA34" s="263"/>
      <c r="AB34" s="264"/>
      <c r="AC34" s="262"/>
      <c r="AD34" s="262"/>
      <c r="AE34" s="262"/>
      <c r="AF34" s="263"/>
    </row>
    <row r="35" spans="1:32" ht="15.75">
      <c r="A35" s="135"/>
      <c r="B35" s="304" t="s">
        <v>125</v>
      </c>
      <c r="C35" s="264"/>
      <c r="D35" s="262"/>
      <c r="E35" s="262"/>
      <c r="F35" s="262"/>
      <c r="G35" s="263"/>
      <c r="H35" s="264"/>
      <c r="I35" s="262"/>
      <c r="J35" s="262"/>
      <c r="K35" s="262"/>
      <c r="L35" s="263"/>
      <c r="M35" s="264"/>
      <c r="N35" s="262"/>
      <c r="O35" s="262"/>
      <c r="P35" s="262"/>
      <c r="Q35" s="263"/>
      <c r="R35" s="264"/>
      <c r="S35" s="262"/>
      <c r="T35" s="262"/>
      <c r="U35" s="262"/>
      <c r="V35" s="263"/>
      <c r="W35" s="264"/>
      <c r="X35" s="262"/>
      <c r="Y35" s="262"/>
      <c r="Z35" s="262"/>
      <c r="AA35" s="263"/>
      <c r="AB35" s="264"/>
      <c r="AC35" s="262"/>
      <c r="AD35" s="262"/>
      <c r="AE35" s="262"/>
      <c r="AF35" s="263"/>
    </row>
    <row r="36" spans="1:32" ht="15.75">
      <c r="A36" s="135"/>
      <c r="B36" s="304" t="s">
        <v>133</v>
      </c>
      <c r="C36" s="264">
        <f>'табл.1,4'!C38/7.204</f>
        <v>4.615907828983898</v>
      </c>
      <c r="D36" s="262"/>
      <c r="E36" s="262"/>
      <c r="F36" s="262">
        <f>'табл.1,4'!F38/7.204</f>
        <v>4.615907828983898</v>
      </c>
      <c r="G36" s="263">
        <f>'табл.1,4'!G38/7.204</f>
        <v>2.3089067684619655</v>
      </c>
      <c r="H36" s="264">
        <f>'табл.1,4'!H38/7.204*2</f>
        <v>4.876735147140478</v>
      </c>
      <c r="I36" s="262"/>
      <c r="J36" s="262"/>
      <c r="K36" s="262">
        <f>'табл.1,4'!K38/7.204*2</f>
        <v>4.876735147140478</v>
      </c>
      <c r="L36" s="263">
        <f>'табл.1,4'!L38/7.204*2</f>
        <v>2.4395713270405333</v>
      </c>
      <c r="M36" s="264">
        <f>'табл.1,4'!M38/7.204*2</f>
        <v>4.355080510827318</v>
      </c>
      <c r="N36" s="262"/>
      <c r="O36" s="262"/>
      <c r="P36" s="262">
        <f>'табл.1,4'!P38/7.204*2</f>
        <v>4.355080510827318</v>
      </c>
      <c r="Q36" s="263">
        <f>'табл.1,4'!Q38/7.204*2</f>
        <v>2.178242209883398</v>
      </c>
      <c r="R36" s="264">
        <f>'табл.1,4'!R38/7.204</f>
        <v>4.954956905972214</v>
      </c>
      <c r="S36" s="262"/>
      <c r="T36" s="262"/>
      <c r="U36" s="262">
        <f>'табл.1,4'!U38/7.204</f>
        <v>4.954956905972214</v>
      </c>
      <c r="V36" s="263">
        <f>'табл.1,4'!V38/7.204</f>
        <v>2.235627916703987</v>
      </c>
      <c r="W36" s="264">
        <f>'табл.1,4'!W38/7.204*2</f>
        <v>4.876735147140478</v>
      </c>
      <c r="X36" s="262"/>
      <c r="Y36" s="262"/>
      <c r="Z36" s="262">
        <f>'табл.1,4'!Z38/7.204*2</f>
        <v>4.876735147140478</v>
      </c>
      <c r="AA36" s="263">
        <f>'табл.1,4'!AA38/7.204*2</f>
        <v>2.2515293170460846</v>
      </c>
      <c r="AB36" s="264">
        <f>'табл.1,4'!AB38/7.204*2</f>
        <v>5.03317866480395</v>
      </c>
      <c r="AC36" s="262"/>
      <c r="AD36" s="262"/>
      <c r="AE36" s="262">
        <f>'табл.1,4'!AE38/7.204*2</f>
        <v>5.03317866480395</v>
      </c>
      <c r="AF36" s="263">
        <f>'табл.1,4'!AF38/7.204*2</f>
        <v>2.2197265163618893</v>
      </c>
    </row>
    <row r="37" spans="1:32" ht="15.75">
      <c r="A37" s="135" t="s">
        <v>134</v>
      </c>
      <c r="B37" s="161" t="s">
        <v>219</v>
      </c>
      <c r="C37" s="264"/>
      <c r="D37" s="262"/>
      <c r="E37" s="262"/>
      <c r="F37" s="262"/>
      <c r="G37" s="263"/>
      <c r="H37" s="264"/>
      <c r="I37" s="262"/>
      <c r="J37" s="262"/>
      <c r="K37" s="262"/>
      <c r="L37" s="263"/>
      <c r="M37" s="264"/>
      <c r="N37" s="262"/>
      <c r="O37" s="262"/>
      <c r="P37" s="262"/>
      <c r="Q37" s="263"/>
      <c r="R37" s="264"/>
      <c r="S37" s="262"/>
      <c r="T37" s="262"/>
      <c r="U37" s="262"/>
      <c r="V37" s="263"/>
      <c r="W37" s="264"/>
      <c r="X37" s="262"/>
      <c r="Y37" s="262"/>
      <c r="Z37" s="262"/>
      <c r="AA37" s="263"/>
      <c r="AB37" s="264"/>
      <c r="AC37" s="262"/>
      <c r="AD37" s="262"/>
      <c r="AE37" s="262"/>
      <c r="AF37" s="263"/>
    </row>
    <row r="38" spans="1:32" ht="24">
      <c r="A38" s="135" t="s">
        <v>202</v>
      </c>
      <c r="B38" s="161" t="s">
        <v>136</v>
      </c>
      <c r="C38" s="264"/>
      <c r="D38" s="262"/>
      <c r="E38" s="262"/>
      <c r="F38" s="262"/>
      <c r="G38" s="263"/>
      <c r="H38" s="264"/>
      <c r="I38" s="262"/>
      <c r="J38" s="262"/>
      <c r="K38" s="262"/>
      <c r="L38" s="263"/>
      <c r="M38" s="264"/>
      <c r="N38" s="262"/>
      <c r="O38" s="262"/>
      <c r="P38" s="262"/>
      <c r="Q38" s="263"/>
      <c r="R38" s="264"/>
      <c r="S38" s="262"/>
      <c r="T38" s="262"/>
      <c r="U38" s="262"/>
      <c r="V38" s="263"/>
      <c r="W38" s="264"/>
      <c r="X38" s="262"/>
      <c r="Y38" s="262"/>
      <c r="Z38" s="262"/>
      <c r="AA38" s="263"/>
      <c r="AB38" s="264"/>
      <c r="AC38" s="262"/>
      <c r="AD38" s="262"/>
      <c r="AE38" s="262"/>
      <c r="AF38" s="263"/>
    </row>
    <row r="39" spans="1:32" ht="15.75">
      <c r="A39" s="135" t="s">
        <v>137</v>
      </c>
      <c r="B39" s="161" t="s">
        <v>220</v>
      </c>
      <c r="C39" s="264"/>
      <c r="D39" s="262"/>
      <c r="E39" s="262"/>
      <c r="F39" s="262"/>
      <c r="G39" s="306"/>
      <c r="H39" s="264"/>
      <c r="I39" s="262"/>
      <c r="J39" s="262"/>
      <c r="K39" s="262"/>
      <c r="L39" s="263"/>
      <c r="M39" s="264"/>
      <c r="N39" s="262"/>
      <c r="O39" s="262"/>
      <c r="P39" s="262"/>
      <c r="Q39" s="263"/>
      <c r="R39" s="264"/>
      <c r="S39" s="262"/>
      <c r="T39" s="262"/>
      <c r="U39" s="262"/>
      <c r="V39" s="306"/>
      <c r="W39" s="264"/>
      <c r="X39" s="262"/>
      <c r="Y39" s="262"/>
      <c r="Z39" s="262"/>
      <c r="AA39" s="263"/>
      <c r="AB39" s="264"/>
      <c r="AC39" s="262"/>
      <c r="AD39" s="262"/>
      <c r="AE39" s="262"/>
      <c r="AF39" s="263"/>
    </row>
    <row r="40" spans="1:32" ht="15.75">
      <c r="A40" s="130" t="s">
        <v>204</v>
      </c>
      <c r="B40" s="157" t="s">
        <v>227</v>
      </c>
      <c r="C40" s="264">
        <f>'табл.1,4'!C42/7.204</f>
        <v>0.43550805108273183</v>
      </c>
      <c r="D40" s="262"/>
      <c r="E40" s="262"/>
      <c r="F40" s="262">
        <f>'табл.1,4'!F42/7.204</f>
        <v>0.19331421987784564</v>
      </c>
      <c r="G40" s="263">
        <f>'табл.1,4'!G42/7.204</f>
        <v>0.24220432001166017</v>
      </c>
      <c r="H40" s="264">
        <f>'табл.1,4'!H42/7.204*2</f>
        <v>0.4601487001687951</v>
      </c>
      <c r="I40" s="262"/>
      <c r="J40" s="262"/>
      <c r="K40" s="262">
        <f>'табл.1,4'!K42/7.204*2</f>
        <v>0.20423766796224319</v>
      </c>
      <c r="L40" s="263">
        <f>'табл.1,4'!L42/7.204*2</f>
        <v>0.2559110322065519</v>
      </c>
      <c r="M40" s="264">
        <f>'табл.1,4'!M42/7.204*2</f>
        <v>0.41086740199666855</v>
      </c>
      <c r="N40" s="262"/>
      <c r="O40" s="262"/>
      <c r="P40" s="262">
        <f>'табл.1,4'!P42/7.204*2</f>
        <v>0.1823907717934481</v>
      </c>
      <c r="Q40" s="263">
        <f>'табл.1,4'!Q42/7.204*2</f>
        <v>0.22849760781676842</v>
      </c>
      <c r="R40" s="264">
        <f>'табл.1,4'!R42/7.204</f>
        <v>0.4673012439048228</v>
      </c>
      <c r="S40" s="262"/>
      <c r="T40" s="262"/>
      <c r="U40" s="262">
        <f>'табл.1,4'!U42/7.204</f>
        <v>0.2327838754425746</v>
      </c>
      <c r="V40" s="263">
        <f>'табл.1,4'!V42/7.204</f>
        <v>0.23451736846224824</v>
      </c>
      <c r="W40" s="264">
        <f>'табл.1,4'!W42/7.204*2</f>
        <v>0.4600275686118822</v>
      </c>
      <c r="X40" s="262"/>
      <c r="Y40" s="262"/>
      <c r="Z40" s="262">
        <f>'табл.1,4'!Z42/7.204*2</f>
        <v>0.22384214325374793</v>
      </c>
      <c r="AA40" s="263">
        <f>'табл.1,4'!AA42/7.204*2</f>
        <v>0.23618542535813428</v>
      </c>
      <c r="AB40" s="264">
        <f>'табл.1,4'!AB42/7.204*2</f>
        <v>0.4745749191977634</v>
      </c>
      <c r="AC40" s="262"/>
      <c r="AD40" s="262"/>
      <c r="AE40" s="262">
        <f>'табл.1,4'!AE42/7.204*2</f>
        <v>0.24172560763140127</v>
      </c>
      <c r="AF40" s="263">
        <f>'табл.1,4'!AF42/7.204*2</f>
        <v>0.2328493115663622</v>
      </c>
    </row>
    <row r="41" spans="1:32" ht="15.75">
      <c r="A41" s="135"/>
      <c r="B41" s="161" t="s">
        <v>221</v>
      </c>
      <c r="C41" s="265">
        <f>C40/C31</f>
        <v>0.09434938201064565</v>
      </c>
      <c r="D41" s="266"/>
      <c r="E41" s="266"/>
      <c r="F41" s="266">
        <v>0.04188</v>
      </c>
      <c r="G41" s="267">
        <v>0.1049</v>
      </c>
      <c r="H41" s="265">
        <f>H40/H36</f>
        <v>0.0943558930893772</v>
      </c>
      <c r="I41" s="266"/>
      <c r="J41" s="266"/>
      <c r="K41" s="266">
        <v>0.04188</v>
      </c>
      <c r="L41" s="267">
        <v>0.1049</v>
      </c>
      <c r="M41" s="265">
        <f>M40/M36</f>
        <v>0.09434209103027985</v>
      </c>
      <c r="N41" s="266"/>
      <c r="O41" s="266"/>
      <c r="P41" s="266">
        <v>0.04188</v>
      </c>
      <c r="Q41" s="267">
        <v>0.1049</v>
      </c>
      <c r="R41" s="265">
        <f>R40/R31</f>
        <v>0.09430985027167123</v>
      </c>
      <c r="S41" s="266"/>
      <c r="T41" s="266"/>
      <c r="U41" s="266">
        <f>'табл.1,4'!U43</f>
        <v>0.04698</v>
      </c>
      <c r="V41" s="267">
        <v>0.1049</v>
      </c>
      <c r="W41" s="265">
        <f>W40/W36</f>
        <v>0.0943310544312877</v>
      </c>
      <c r="X41" s="266"/>
      <c r="Y41" s="266"/>
      <c r="Z41" s="266">
        <f>'табл.1,4'!Z43</f>
        <v>0.0459</v>
      </c>
      <c r="AA41" s="267">
        <v>0.1049</v>
      </c>
      <c r="AB41" s="265">
        <f>AB40/AB36</f>
        <v>0.09428930518925834</v>
      </c>
      <c r="AC41" s="266"/>
      <c r="AD41" s="266"/>
      <c r="AE41" s="266">
        <f>'табл.1,4'!AE43</f>
        <v>0.0480264309554004</v>
      </c>
      <c r="AF41" s="267">
        <v>0.1049</v>
      </c>
    </row>
    <row r="42" spans="1:32" ht="24">
      <c r="A42" s="130" t="s">
        <v>206</v>
      </c>
      <c r="B42" s="168" t="s">
        <v>222</v>
      </c>
      <c r="C42" s="264">
        <v>0</v>
      </c>
      <c r="D42" s="262"/>
      <c r="E42" s="262"/>
      <c r="F42" s="262"/>
      <c r="G42" s="263"/>
      <c r="H42" s="264">
        <v>0</v>
      </c>
      <c r="I42" s="262"/>
      <c r="J42" s="262"/>
      <c r="K42" s="262"/>
      <c r="L42" s="263"/>
      <c r="M42" s="264">
        <v>0</v>
      </c>
      <c r="N42" s="262"/>
      <c r="O42" s="262"/>
      <c r="P42" s="262"/>
      <c r="Q42" s="263"/>
      <c r="R42" s="264">
        <v>0</v>
      </c>
      <c r="S42" s="262"/>
      <c r="T42" s="262"/>
      <c r="U42" s="262"/>
      <c r="V42" s="263"/>
      <c r="W42" s="264">
        <v>0</v>
      </c>
      <c r="X42" s="262"/>
      <c r="Y42" s="262"/>
      <c r="Z42" s="262"/>
      <c r="AA42" s="263"/>
      <c r="AB42" s="264">
        <v>0</v>
      </c>
      <c r="AC42" s="262"/>
      <c r="AD42" s="262"/>
      <c r="AE42" s="262"/>
      <c r="AF42" s="263"/>
    </row>
    <row r="43" spans="1:32" ht="24">
      <c r="A43" s="130" t="s">
        <v>208</v>
      </c>
      <c r="B43" s="157" t="s">
        <v>223</v>
      </c>
      <c r="C43" s="264">
        <f>'табл.1,4'!C45/7.204</f>
        <v>4.180389289094392</v>
      </c>
      <c r="D43" s="262"/>
      <c r="E43" s="262"/>
      <c r="F43" s="262">
        <f>'табл.1,4'!F45/7.204</f>
        <v>2.1136868406440867</v>
      </c>
      <c r="G43" s="263">
        <f>'табл.1,4'!G45/7.204</f>
        <v>2.066702448450305</v>
      </c>
      <c r="H43" s="264">
        <f>'табл.1,4'!H45/7.204*2</f>
        <v>4.4165864469716825</v>
      </c>
      <c r="I43" s="262"/>
      <c r="J43" s="262"/>
      <c r="K43" s="262">
        <f>'табл.1,4'!K45/7.204*2</f>
        <v>2.232926152137701</v>
      </c>
      <c r="L43" s="263">
        <f>'табл.1,4'!L45/7.204*2</f>
        <v>2.1836602948339814</v>
      </c>
      <c r="M43" s="264">
        <f>'табл.1,4'!M45/7.204*2</f>
        <v>3.944192131217102</v>
      </c>
      <c r="N43" s="262"/>
      <c r="O43" s="262"/>
      <c r="P43" s="262">
        <f>'табл.1,4'!P45/7.204*2</f>
        <v>1.9944475291504724</v>
      </c>
      <c r="Q43" s="263">
        <f>'табл.1,4'!Q45/7.204*2</f>
        <v>1.9497446020666294</v>
      </c>
      <c r="R43" s="264">
        <f>'табл.1,4'!R45/7.204</f>
        <v>4.487704469739034</v>
      </c>
      <c r="S43" s="262"/>
      <c r="T43" s="262"/>
      <c r="U43" s="262">
        <f>'табл.1,4'!U45/7.204</f>
        <v>2.4865451138256525</v>
      </c>
      <c r="V43" s="263">
        <f>'табл.1,4'!V45/7.204</f>
        <v>2.0011593559133813</v>
      </c>
      <c r="W43" s="264">
        <f>'табл.1,4'!W45/7.204*2</f>
        <v>4.416707578528595</v>
      </c>
      <c r="X43" s="262"/>
      <c r="Y43" s="262"/>
      <c r="Z43" s="262">
        <f>'табл.1,4'!Z45/7.204*2</f>
        <v>2.4013636868406443</v>
      </c>
      <c r="AA43" s="263">
        <f>'табл.1,4'!AA45/7.204*2</f>
        <v>2.0153438916879503</v>
      </c>
      <c r="AB43" s="264">
        <f>'табл.1,4'!AB45/7.204*2</f>
        <v>4.558701360949472</v>
      </c>
      <c r="AC43" s="262"/>
      <c r="AD43" s="262"/>
      <c r="AE43" s="262">
        <f>'табл.1,4'!AE45/7.204*2</f>
        <v>2.57172654081066</v>
      </c>
      <c r="AF43" s="263">
        <f>'табл.1,4'!AF45/7.204*2</f>
        <v>1.9869748201388127</v>
      </c>
    </row>
    <row r="44" spans="1:32" ht="60">
      <c r="A44" s="135" t="s">
        <v>139</v>
      </c>
      <c r="B44" s="161" t="s">
        <v>224</v>
      </c>
      <c r="C44" s="264"/>
      <c r="D44" s="262"/>
      <c r="E44" s="262"/>
      <c r="F44" s="262">
        <f>'табл.1,4'!F46/7.204</f>
        <v>0.575235980011105</v>
      </c>
      <c r="G44" s="263">
        <f>'табл.1,4'!G46/7.204</f>
        <v>2.066702448450305</v>
      </c>
      <c r="H44" s="264"/>
      <c r="I44" s="262"/>
      <c r="J44" s="262"/>
      <c r="K44" s="262">
        <f>'табл.1,4'!K46/7.204*2</f>
        <v>0.5616324264297613</v>
      </c>
      <c r="L44" s="263">
        <f>'табл.1,4'!L46/7.204*2</f>
        <v>2.1836602948339814</v>
      </c>
      <c r="M44" s="264"/>
      <c r="N44" s="262"/>
      <c r="O44" s="262"/>
      <c r="P44" s="262">
        <f>'табл.1,4'!P46/7.204*2</f>
        <v>0.5888395335924487</v>
      </c>
      <c r="Q44" s="263">
        <f>'табл.1,4'!Q46/7.204*2</f>
        <v>1.9497446020666294</v>
      </c>
      <c r="R44" s="264"/>
      <c r="S44" s="262"/>
      <c r="T44" s="262"/>
      <c r="U44" s="262">
        <f>'табл.1,4'!U46/7.204</f>
        <v>0.669537895613548</v>
      </c>
      <c r="V44" s="263">
        <f>'табл.1,4'!V46/7.204</f>
        <v>2.0011593559133813</v>
      </c>
      <c r="W44" s="264"/>
      <c r="X44" s="262"/>
      <c r="Y44" s="262"/>
      <c r="Z44" s="262">
        <f>'табл.1,4'!Z46/7.204*2</f>
        <v>0.6773214880621877</v>
      </c>
      <c r="AA44" s="263">
        <f>'табл.1,4'!AA46/7.204*2</f>
        <v>2.0153438916879503</v>
      </c>
      <c r="AB44" s="264"/>
      <c r="AC44" s="262"/>
      <c r="AD44" s="262"/>
      <c r="AE44" s="262">
        <f>'табл.1,4'!AE46/7.204*2</f>
        <v>0.6617543031649084</v>
      </c>
      <c r="AF44" s="263">
        <f>'табл.1,4'!AF46/7.204*2</f>
        <v>1.9869748201388127</v>
      </c>
    </row>
    <row r="45" spans="1:32" ht="24">
      <c r="A45" s="135"/>
      <c r="B45" s="161" t="s">
        <v>225</v>
      </c>
      <c r="C45" s="264"/>
      <c r="D45" s="262"/>
      <c r="E45" s="262"/>
      <c r="F45" s="262"/>
      <c r="G45" s="263"/>
      <c r="H45" s="264"/>
      <c r="I45" s="262"/>
      <c r="J45" s="262"/>
      <c r="K45" s="262"/>
      <c r="L45" s="263"/>
      <c r="M45" s="264"/>
      <c r="N45" s="262"/>
      <c r="O45" s="262"/>
      <c r="P45" s="262"/>
      <c r="Q45" s="263"/>
      <c r="R45" s="264"/>
      <c r="S45" s="262"/>
      <c r="T45" s="262"/>
      <c r="U45" s="262"/>
      <c r="V45" s="263"/>
      <c r="W45" s="264"/>
      <c r="X45" s="262"/>
      <c r="Y45" s="262"/>
      <c r="Z45" s="262"/>
      <c r="AA45" s="263"/>
      <c r="AB45" s="264"/>
      <c r="AC45" s="262"/>
      <c r="AD45" s="262"/>
      <c r="AE45" s="262"/>
      <c r="AF45" s="263"/>
    </row>
    <row r="46" spans="1:32" ht="24">
      <c r="A46" s="135"/>
      <c r="B46" s="161" t="s">
        <v>212</v>
      </c>
      <c r="C46" s="264"/>
      <c r="D46" s="262"/>
      <c r="E46" s="262"/>
      <c r="F46" s="262"/>
      <c r="G46" s="263"/>
      <c r="H46" s="264"/>
      <c r="I46" s="262"/>
      <c r="J46" s="262"/>
      <c r="K46" s="262"/>
      <c r="L46" s="263"/>
      <c r="M46" s="264"/>
      <c r="N46" s="262"/>
      <c r="O46" s="262"/>
      <c r="P46" s="262"/>
      <c r="Q46" s="263"/>
      <c r="R46" s="264"/>
      <c r="S46" s="262"/>
      <c r="T46" s="262"/>
      <c r="U46" s="262"/>
      <c r="V46" s="263"/>
      <c r="W46" s="264"/>
      <c r="X46" s="262"/>
      <c r="Y46" s="262"/>
      <c r="Z46" s="262"/>
      <c r="AA46" s="263"/>
      <c r="AB46" s="264"/>
      <c r="AC46" s="262"/>
      <c r="AD46" s="262"/>
      <c r="AE46" s="262"/>
      <c r="AF46" s="263"/>
    </row>
    <row r="47" spans="1:32" ht="16.5" thickBot="1">
      <c r="A47" s="147" t="s">
        <v>142</v>
      </c>
      <c r="B47" s="169" t="s">
        <v>226</v>
      </c>
      <c r="C47" s="268"/>
      <c r="D47" s="269"/>
      <c r="E47" s="269"/>
      <c r="F47" s="269">
        <f>'табл.1,4'!F51/7.204</f>
        <v>1.5384508606329819</v>
      </c>
      <c r="G47" s="270"/>
      <c r="H47" s="268"/>
      <c r="I47" s="269"/>
      <c r="J47" s="269"/>
      <c r="K47" s="269">
        <f>'табл.1,4'!K51*2/7.204</f>
        <v>1.6712937257079399</v>
      </c>
      <c r="L47" s="270"/>
      <c r="M47" s="268"/>
      <c r="N47" s="269"/>
      <c r="O47" s="269"/>
      <c r="P47" s="269">
        <f>'табл.1,4'!P51*2/7.204</f>
        <v>1.4056079955580236</v>
      </c>
      <c r="Q47" s="270"/>
      <c r="R47" s="268"/>
      <c r="S47" s="269"/>
      <c r="T47" s="269"/>
      <c r="U47" s="269">
        <f>'табл.1,4'!U51/7.204</f>
        <v>1.8170072182121044</v>
      </c>
      <c r="V47" s="270"/>
      <c r="W47" s="268"/>
      <c r="X47" s="269"/>
      <c r="Y47" s="269"/>
      <c r="Z47" s="269">
        <f>'табл.1,4'!Z51*2/7.204</f>
        <v>1.7240421987784564</v>
      </c>
      <c r="AA47" s="270"/>
      <c r="AB47" s="268"/>
      <c r="AC47" s="269"/>
      <c r="AD47" s="269"/>
      <c r="AE47" s="269">
        <f>'табл.1,4'!AE51*2/7.204</f>
        <v>1.9099722376457524</v>
      </c>
      <c r="AF47" s="270"/>
    </row>
    <row r="48" spans="1:32" ht="15.75">
      <c r="A48" s="117"/>
      <c r="B48" s="173"/>
      <c r="C48" s="174"/>
      <c r="D48" s="175"/>
      <c r="E48" s="175"/>
      <c r="F48" s="175"/>
      <c r="G48" s="175"/>
      <c r="H48" s="174"/>
      <c r="I48" s="175"/>
      <c r="J48" s="175"/>
      <c r="K48" s="175"/>
      <c r="L48" s="175"/>
      <c r="M48" s="174"/>
      <c r="N48" s="117"/>
      <c r="O48" s="117"/>
      <c r="P48" s="117"/>
      <c r="Q48" s="117"/>
      <c r="R48" s="174"/>
      <c r="S48" s="175"/>
      <c r="T48" s="175"/>
      <c r="U48" s="175"/>
      <c r="V48" s="175"/>
      <c r="W48" s="174"/>
      <c r="X48" s="175"/>
      <c r="Y48" s="175"/>
      <c r="Z48" s="175"/>
      <c r="AA48" s="175"/>
      <c r="AB48" s="174"/>
      <c r="AC48" s="117"/>
      <c r="AD48" s="117"/>
      <c r="AE48" s="117"/>
      <c r="AF48" s="117"/>
    </row>
    <row r="49" spans="1:32" ht="15.75">
      <c r="A49" s="178" t="s">
        <v>260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70"/>
      <c r="M49" s="70"/>
      <c r="N49" s="70"/>
      <c r="O49" s="70"/>
      <c r="P49" s="70"/>
      <c r="Q49" s="70"/>
      <c r="R49" s="6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1" spans="18:28" ht="15.75">
      <c r="R51" s="92"/>
      <c r="W51" s="92"/>
      <c r="X51" s="92"/>
      <c r="Z51" s="92"/>
      <c r="AB51" s="92"/>
    </row>
  </sheetData>
  <sheetProtection/>
  <mergeCells count="18">
    <mergeCell ref="R7:V7"/>
    <mergeCell ref="W7:AA7"/>
    <mergeCell ref="AB7:AF7"/>
    <mergeCell ref="M7:Q7"/>
    <mergeCell ref="A2:L2"/>
    <mergeCell ref="A3:L3"/>
    <mergeCell ref="A7:A8"/>
    <mergeCell ref="B7:B8"/>
    <mergeCell ref="C7:G7"/>
    <mergeCell ref="H7:L7"/>
    <mergeCell ref="W28:AA28"/>
    <mergeCell ref="AB28:AF28"/>
    <mergeCell ref="A28:A29"/>
    <mergeCell ref="B28:B29"/>
    <mergeCell ref="C28:G28"/>
    <mergeCell ref="H28:L28"/>
    <mergeCell ref="M28:Q28"/>
    <mergeCell ref="R28:V28"/>
  </mergeCells>
  <printOptions/>
  <pageMargins left="0.16" right="0.17" top="0.22" bottom="0.16" header="0.17" footer="0.16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PageLayoutView="0" workbookViewId="0" topLeftCell="A10">
      <selection activeCell="G27" sqref="G27"/>
    </sheetView>
  </sheetViews>
  <sheetFormatPr defaultColWidth="9.00390625" defaultRowHeight="12.75"/>
  <cols>
    <col min="2" max="2" width="15.00390625" style="0" customWidth="1"/>
    <col min="3" max="3" width="9.625" style="0" bestFit="1" customWidth="1"/>
    <col min="8" max="9" width="11.625" style="0" bestFit="1" customWidth="1"/>
    <col min="11" max="11" width="11.625" style="0" bestFit="1" customWidth="1"/>
    <col min="12" max="12" width="14.125" style="0" customWidth="1"/>
    <col min="22" max="23" width="11.625" style="0" bestFit="1" customWidth="1"/>
  </cols>
  <sheetData>
    <row r="1" spans="1:23" ht="12.75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5"/>
      <c r="L1" s="225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7" t="s">
        <v>242</v>
      </c>
    </row>
    <row r="2" spans="1:23" ht="12.75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5"/>
      <c r="L2" s="225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 ht="16.5">
      <c r="A3" s="385" t="s">
        <v>243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</row>
    <row r="5" spans="1:23" ht="25.5">
      <c r="A5" s="236" t="s">
        <v>244</v>
      </c>
      <c r="B5" s="234" t="s">
        <v>245</v>
      </c>
      <c r="C5" s="386" t="s">
        <v>246</v>
      </c>
      <c r="D5" s="387"/>
      <c r="E5" s="387"/>
      <c r="F5" s="387"/>
      <c r="G5" s="233"/>
      <c r="H5" s="386" t="s">
        <v>247</v>
      </c>
      <c r="I5" s="387"/>
      <c r="J5" s="387"/>
      <c r="K5" s="387"/>
      <c r="L5" s="388"/>
      <c r="M5" s="389" t="s">
        <v>248</v>
      </c>
      <c r="N5" s="386" t="s">
        <v>249</v>
      </c>
      <c r="O5" s="387"/>
      <c r="P5" s="387"/>
      <c r="Q5" s="387"/>
      <c r="R5" s="388"/>
      <c r="S5" s="391" t="s">
        <v>250</v>
      </c>
      <c r="T5" s="392"/>
      <c r="U5" s="392"/>
      <c r="V5" s="392"/>
      <c r="W5" s="393"/>
    </row>
    <row r="6" spans="1:23" ht="12.75">
      <c r="A6" s="237"/>
      <c r="B6" s="235"/>
      <c r="C6" s="228" t="s">
        <v>251</v>
      </c>
      <c r="D6" s="228" t="s">
        <v>124</v>
      </c>
      <c r="E6" s="228" t="s">
        <v>125</v>
      </c>
      <c r="F6" s="228" t="s">
        <v>126</v>
      </c>
      <c r="G6" s="228" t="s">
        <v>127</v>
      </c>
      <c r="H6" s="228" t="s">
        <v>251</v>
      </c>
      <c r="I6" s="228" t="s">
        <v>124</v>
      </c>
      <c r="J6" s="228" t="s">
        <v>125</v>
      </c>
      <c r="K6" s="229" t="s">
        <v>126</v>
      </c>
      <c r="L6" s="229" t="s">
        <v>127</v>
      </c>
      <c r="M6" s="390"/>
      <c r="N6" s="228" t="s">
        <v>251</v>
      </c>
      <c r="O6" s="228" t="s">
        <v>124</v>
      </c>
      <c r="P6" s="228" t="s">
        <v>125</v>
      </c>
      <c r="Q6" s="228" t="s">
        <v>126</v>
      </c>
      <c r="R6" s="228" t="s">
        <v>127</v>
      </c>
      <c r="S6" s="228" t="s">
        <v>251</v>
      </c>
      <c r="T6" s="228" t="s">
        <v>124</v>
      </c>
      <c r="U6" s="228" t="s">
        <v>125</v>
      </c>
      <c r="V6" s="228" t="s">
        <v>126</v>
      </c>
      <c r="W6" s="228" t="s">
        <v>127</v>
      </c>
    </row>
    <row r="7" spans="1:23" ht="12.75">
      <c r="A7" s="230">
        <v>1</v>
      </c>
      <c r="B7" s="231">
        <f>+A7+1</f>
        <v>2</v>
      </c>
      <c r="C7" s="231">
        <f>+B7+1</f>
        <v>3</v>
      </c>
      <c r="D7" s="231">
        <f>+C7+1</f>
        <v>4</v>
      </c>
      <c r="E7" s="231">
        <v>5</v>
      </c>
      <c r="F7" s="231">
        <v>6</v>
      </c>
      <c r="G7" s="231">
        <f>+F7+1</f>
        <v>7</v>
      </c>
      <c r="H7" s="231">
        <f>+G7+1</f>
        <v>8</v>
      </c>
      <c r="I7" s="231">
        <v>9</v>
      </c>
      <c r="J7" s="231">
        <v>10</v>
      </c>
      <c r="K7" s="230">
        <f>+J7+1</f>
        <v>11</v>
      </c>
      <c r="L7" s="230">
        <f>+K7+1</f>
        <v>12</v>
      </c>
      <c r="M7" s="231">
        <v>13</v>
      </c>
      <c r="N7" s="231">
        <f>+M7+1</f>
        <v>14</v>
      </c>
      <c r="O7" s="231">
        <f>+N7+1</f>
        <v>15</v>
      </c>
      <c r="P7" s="231">
        <f>+O7+1</f>
        <v>16</v>
      </c>
      <c r="Q7" s="231">
        <v>17</v>
      </c>
      <c r="R7" s="231">
        <f>+Q7+1</f>
        <v>18</v>
      </c>
      <c r="S7" s="231">
        <f>+R7+1</f>
        <v>19</v>
      </c>
      <c r="T7" s="231">
        <f>+S7+1</f>
        <v>20</v>
      </c>
      <c r="U7" s="231">
        <v>21</v>
      </c>
      <c r="V7" s="231">
        <f>+U7+1</f>
        <v>22</v>
      </c>
      <c r="W7" s="231">
        <f>+V7+1</f>
        <v>23</v>
      </c>
    </row>
    <row r="8" spans="1:23" ht="12.75">
      <c r="A8" s="382" t="s">
        <v>355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4"/>
    </row>
    <row r="9" spans="1:23" ht="25.5">
      <c r="A9" s="232"/>
      <c r="B9" s="232" t="s">
        <v>252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</row>
    <row r="10" spans="1:23" ht="12.75">
      <c r="A10" s="243">
        <v>1</v>
      </c>
      <c r="B10" s="243" t="s">
        <v>253</v>
      </c>
      <c r="C10" s="243">
        <f>F10+G10</f>
        <v>4443.856</v>
      </c>
      <c r="D10" s="243"/>
      <c r="E10" s="243"/>
      <c r="F10" s="243"/>
      <c r="G10" s="242">
        <v>4443.856</v>
      </c>
      <c r="H10" s="243">
        <f>K10+L10</f>
        <v>0.6168595224875069</v>
      </c>
      <c r="I10" s="243"/>
      <c r="J10" s="243"/>
      <c r="K10" s="243"/>
      <c r="L10" s="243">
        <f>G10/M10</f>
        <v>0.6168595224875069</v>
      </c>
      <c r="M10" s="243">
        <v>7204</v>
      </c>
      <c r="N10" s="243"/>
      <c r="O10" s="243"/>
      <c r="P10" s="243"/>
      <c r="Q10" s="243"/>
      <c r="R10" s="243"/>
      <c r="S10" s="243"/>
      <c r="T10" s="243"/>
      <c r="U10" s="243"/>
      <c r="V10" s="243">
        <v>0</v>
      </c>
      <c r="W10" s="243">
        <v>1</v>
      </c>
    </row>
    <row r="11" spans="1:23" ht="38.25">
      <c r="A11" s="243">
        <v>2</v>
      </c>
      <c r="B11" s="243" t="s">
        <v>254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>
        <v>7204</v>
      </c>
      <c r="N11" s="243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89.25">
      <c r="A12" s="243">
        <v>3</v>
      </c>
      <c r="B12" s="243" t="s">
        <v>255</v>
      </c>
      <c r="C12" s="243">
        <f>F12+G12</f>
        <v>3917.282</v>
      </c>
      <c r="D12" s="243"/>
      <c r="E12" s="243"/>
      <c r="F12" s="243">
        <v>138.175</v>
      </c>
      <c r="G12" s="243">
        <v>3779.107</v>
      </c>
      <c r="H12" s="243">
        <f>K12+L12</f>
        <v>0.5437648528595225</v>
      </c>
      <c r="I12" s="243"/>
      <c r="J12" s="243"/>
      <c r="K12" s="243">
        <f>F12/M12</f>
        <v>0.019180316490838425</v>
      </c>
      <c r="L12" s="243">
        <f>G12/M12</f>
        <v>0.5245845363686841</v>
      </c>
      <c r="M12" s="243">
        <v>7204</v>
      </c>
      <c r="N12" s="243"/>
      <c r="O12" s="243"/>
      <c r="P12" s="243"/>
      <c r="Q12" s="243">
        <v>1</v>
      </c>
      <c r="R12" s="243">
        <v>14</v>
      </c>
      <c r="S12" s="243"/>
      <c r="T12" s="243"/>
      <c r="U12" s="243"/>
      <c r="V12" s="243">
        <f>F12/C12</f>
        <v>0.035273181762252505</v>
      </c>
      <c r="W12" s="243">
        <f>1-V12</f>
        <v>0.9647268182377475</v>
      </c>
    </row>
    <row r="13" spans="1:23" ht="25.5">
      <c r="A13" s="243">
        <v>4</v>
      </c>
      <c r="B13" s="243" t="s">
        <v>256</v>
      </c>
      <c r="C13" s="243">
        <f>F13+G13</f>
        <v>10878.562999999998</v>
      </c>
      <c r="D13" s="243"/>
      <c r="E13" s="243"/>
      <c r="F13" s="243">
        <v>4686.141</v>
      </c>
      <c r="G13" s="243">
        <v>6192.422</v>
      </c>
      <c r="H13" s="243">
        <f>K13+L13</f>
        <v>1.5100725985563574</v>
      </c>
      <c r="I13" s="243"/>
      <c r="J13" s="243"/>
      <c r="K13" s="243">
        <f>F13/M13</f>
        <v>0.6504915324819545</v>
      </c>
      <c r="L13" s="243">
        <f>G13/M13</f>
        <v>0.8595810660744031</v>
      </c>
      <c r="M13" s="243">
        <v>7204</v>
      </c>
      <c r="N13" s="243"/>
      <c r="O13" s="243"/>
      <c r="P13" s="243"/>
      <c r="Q13" s="243">
        <v>31</v>
      </c>
      <c r="R13" s="243">
        <v>50</v>
      </c>
      <c r="S13" s="243"/>
      <c r="T13" s="243"/>
      <c r="U13" s="243"/>
      <c r="V13" s="243">
        <f>F13/C13</f>
        <v>0.4307683836550839</v>
      </c>
      <c r="W13" s="243">
        <f>1-V13</f>
        <v>0.569231616344916</v>
      </c>
    </row>
    <row r="14" spans="1:23" ht="25.5">
      <c r="A14" s="243">
        <v>5</v>
      </c>
      <c r="B14" s="243" t="s">
        <v>257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>
        <v>7204</v>
      </c>
      <c r="N14" s="243"/>
      <c r="O14" s="243"/>
      <c r="P14" s="243"/>
      <c r="Q14" s="243"/>
      <c r="R14" s="243"/>
      <c r="S14" s="243"/>
      <c r="T14" s="243"/>
      <c r="U14" s="243"/>
      <c r="V14" s="243"/>
      <c r="W14" s="243"/>
    </row>
    <row r="15" spans="1:23" ht="25.5">
      <c r="A15" s="243">
        <v>6</v>
      </c>
      <c r="B15" s="243" t="s">
        <v>258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>
        <v>7204</v>
      </c>
      <c r="N15" s="243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3" ht="12.75">
      <c r="A16" s="243">
        <v>7</v>
      </c>
      <c r="B16" s="243" t="s">
        <v>261</v>
      </c>
      <c r="C16" s="243">
        <f>F16+G16</f>
        <v>13089.72</v>
      </c>
      <c r="D16" s="243"/>
      <c r="E16" s="243"/>
      <c r="F16" s="243">
        <v>13089.72</v>
      </c>
      <c r="G16" s="243"/>
      <c r="H16" s="243">
        <f>K16+L16</f>
        <v>1.8170072182121042</v>
      </c>
      <c r="I16" s="243"/>
      <c r="J16" s="243"/>
      <c r="K16" s="243">
        <f>F16/M16</f>
        <v>1.8170072182121042</v>
      </c>
      <c r="L16" s="243"/>
      <c r="M16" s="243">
        <v>7204</v>
      </c>
      <c r="N16" s="243"/>
      <c r="O16" s="243"/>
      <c r="P16" s="243"/>
      <c r="Q16" s="243">
        <v>1</v>
      </c>
      <c r="R16" s="243"/>
      <c r="S16" s="243">
        <f>1</f>
        <v>1</v>
      </c>
      <c r="T16" s="243"/>
      <c r="U16" s="243"/>
      <c r="V16" s="243">
        <f>F16/C16</f>
        <v>1</v>
      </c>
      <c r="W16" s="243">
        <f>S16-V16</f>
        <v>0</v>
      </c>
    </row>
    <row r="17" spans="1:23" ht="12.75">
      <c r="A17" s="232"/>
      <c r="B17" s="232" t="s">
        <v>259</v>
      </c>
      <c r="C17" s="232">
        <f>SUM(C9:C16)</f>
        <v>32329.420999999995</v>
      </c>
      <c r="D17" s="232"/>
      <c r="E17" s="232"/>
      <c r="F17" s="232">
        <f>SUM(F9:F16)</f>
        <v>17914.036</v>
      </c>
      <c r="G17" s="232">
        <f>SUM(G9:G15)</f>
        <v>14415.384999999998</v>
      </c>
      <c r="H17" s="232">
        <f>SUM(H9:H16)</f>
        <v>4.4877041921154905</v>
      </c>
      <c r="I17" s="232"/>
      <c r="J17" s="232"/>
      <c r="K17" s="232">
        <f>SUM(K9:K16)</f>
        <v>2.4866790671848973</v>
      </c>
      <c r="L17" s="232">
        <f>SUM(L9:L16)</f>
        <v>2.001025124930594</v>
      </c>
      <c r="M17" s="232">
        <v>7204</v>
      </c>
      <c r="N17" s="238"/>
      <c r="O17" s="238"/>
      <c r="P17" s="238"/>
      <c r="Q17" s="238"/>
      <c r="R17" s="238"/>
      <c r="S17" s="238"/>
      <c r="T17" s="238"/>
      <c r="U17" s="238"/>
      <c r="V17" s="238"/>
      <c r="W17" s="239"/>
    </row>
    <row r="18" spans="1:23" ht="12.75">
      <c r="A18" s="382" t="s">
        <v>356</v>
      </c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4"/>
    </row>
    <row r="19" spans="1:23" ht="25.5">
      <c r="A19" s="232"/>
      <c r="B19" s="232" t="s">
        <v>252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</row>
    <row r="20" spans="1:23" ht="12.75">
      <c r="A20" s="243">
        <v>1</v>
      </c>
      <c r="B20" s="243" t="s">
        <v>253</v>
      </c>
      <c r="C20" s="243">
        <f>F20+G20</f>
        <v>4443.856</v>
      </c>
      <c r="D20" s="243"/>
      <c r="E20" s="243"/>
      <c r="F20" s="243"/>
      <c r="G20" s="242">
        <v>4443.856</v>
      </c>
      <c r="H20" s="243">
        <f>K20+L20</f>
        <v>0.6168595224875069</v>
      </c>
      <c r="I20" s="243"/>
      <c r="J20" s="243"/>
      <c r="K20" s="243"/>
      <c r="L20" s="243">
        <f>G20/M20</f>
        <v>0.6168595224875069</v>
      </c>
      <c r="M20" s="243">
        <v>7204</v>
      </c>
      <c r="N20" s="243"/>
      <c r="O20" s="243"/>
      <c r="P20" s="243"/>
      <c r="Q20" s="243"/>
      <c r="R20" s="243"/>
      <c r="S20" s="243"/>
      <c r="T20" s="243"/>
      <c r="U20" s="243"/>
      <c r="V20" s="243">
        <v>0</v>
      </c>
      <c r="W20" s="243">
        <v>1</v>
      </c>
    </row>
    <row r="21" spans="1:23" ht="38.25">
      <c r="A21" s="243">
        <v>2</v>
      </c>
      <c r="B21" s="243" t="s">
        <v>254</v>
      </c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>
        <v>7204</v>
      </c>
      <c r="N21" s="243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23" ht="89.25">
      <c r="A22" s="243">
        <v>3</v>
      </c>
      <c r="B22" s="243" t="s">
        <v>255</v>
      </c>
      <c r="C22" s="243">
        <f>F22+G22</f>
        <v>3917.282</v>
      </c>
      <c r="D22" s="243"/>
      <c r="E22" s="243"/>
      <c r="F22" s="243">
        <v>138.175</v>
      </c>
      <c r="G22" s="243">
        <v>3779.107</v>
      </c>
      <c r="H22" s="243">
        <f>K22+L22</f>
        <v>0.5437648528595225</v>
      </c>
      <c r="I22" s="243"/>
      <c r="J22" s="243"/>
      <c r="K22" s="243">
        <f>F22/M22</f>
        <v>0.019180316490838425</v>
      </c>
      <c r="L22" s="243">
        <f>G22/M22</f>
        <v>0.5245845363686841</v>
      </c>
      <c r="M22" s="243">
        <v>7204</v>
      </c>
      <c r="N22" s="243"/>
      <c r="O22" s="243"/>
      <c r="P22" s="243"/>
      <c r="Q22" s="243">
        <v>1</v>
      </c>
      <c r="R22" s="243">
        <v>14</v>
      </c>
      <c r="S22" s="243"/>
      <c r="T22" s="243"/>
      <c r="U22" s="243"/>
      <c r="V22" s="243">
        <f>F22/C22</f>
        <v>0.035273181762252505</v>
      </c>
      <c r="W22" s="243">
        <f>1-V22</f>
        <v>0.9647268182377475</v>
      </c>
    </row>
    <row r="23" spans="1:23" ht="25.5">
      <c r="A23" s="243">
        <v>4</v>
      </c>
      <c r="B23" s="243" t="s">
        <v>256</v>
      </c>
      <c r="C23" s="243">
        <f>F23+G23</f>
        <v>10878.562999999998</v>
      </c>
      <c r="D23" s="243"/>
      <c r="E23" s="243"/>
      <c r="F23" s="243">
        <v>4686.141</v>
      </c>
      <c r="G23" s="243">
        <v>6192.422</v>
      </c>
      <c r="H23" s="243">
        <f>K23+L23</f>
        <v>1.5100725985563574</v>
      </c>
      <c r="I23" s="243"/>
      <c r="J23" s="243"/>
      <c r="K23" s="243">
        <f>F23/M23</f>
        <v>0.6504915324819545</v>
      </c>
      <c r="L23" s="243">
        <f>G23/M23</f>
        <v>0.8595810660744031</v>
      </c>
      <c r="M23" s="243">
        <v>7204</v>
      </c>
      <c r="N23" s="243"/>
      <c r="O23" s="243"/>
      <c r="P23" s="243"/>
      <c r="Q23" s="243">
        <v>31</v>
      </c>
      <c r="R23" s="243">
        <v>50</v>
      </c>
      <c r="S23" s="243"/>
      <c r="T23" s="243"/>
      <c r="U23" s="243"/>
      <c r="V23" s="243">
        <f>F23/C23</f>
        <v>0.4307683836550839</v>
      </c>
      <c r="W23" s="243">
        <f>1-V23</f>
        <v>0.569231616344916</v>
      </c>
    </row>
    <row r="24" spans="1:23" ht="25.5">
      <c r="A24" s="243">
        <v>5</v>
      </c>
      <c r="B24" s="243" t="s">
        <v>257</v>
      </c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>
        <v>7204</v>
      </c>
      <c r="N24" s="243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23" ht="25.5">
      <c r="A25" s="243">
        <v>6</v>
      </c>
      <c r="B25" s="243" t="s">
        <v>258</v>
      </c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>
        <v>7204</v>
      </c>
      <c r="N25" s="243"/>
      <c r="O25" s="243"/>
      <c r="P25" s="243"/>
      <c r="Q25" s="243"/>
      <c r="R25" s="243"/>
      <c r="S25" s="243"/>
      <c r="T25" s="243"/>
      <c r="U25" s="243"/>
      <c r="V25" s="243"/>
      <c r="W25" s="243"/>
    </row>
    <row r="26" spans="1:23" ht="12.75">
      <c r="A26" s="243">
        <v>7</v>
      </c>
      <c r="B26" s="243" t="s">
        <v>261</v>
      </c>
      <c r="C26" s="243">
        <f>F26+G26</f>
        <v>13089.72</v>
      </c>
      <c r="D26" s="243"/>
      <c r="E26" s="243"/>
      <c r="F26" s="243">
        <v>13089.72</v>
      </c>
      <c r="G26" s="243"/>
      <c r="H26" s="243">
        <f>K26+L26</f>
        <v>1.8170072182121042</v>
      </c>
      <c r="I26" s="243"/>
      <c r="J26" s="243"/>
      <c r="K26" s="243">
        <f>F26/M26</f>
        <v>1.8170072182121042</v>
      </c>
      <c r="L26" s="243"/>
      <c r="M26" s="243">
        <v>7204</v>
      </c>
      <c r="N26" s="243"/>
      <c r="O26" s="243"/>
      <c r="P26" s="243"/>
      <c r="Q26" s="243">
        <v>1</v>
      </c>
      <c r="R26" s="243"/>
      <c r="S26" s="243">
        <f>1</f>
        <v>1</v>
      </c>
      <c r="T26" s="243"/>
      <c r="U26" s="243"/>
      <c r="V26" s="243">
        <f>F26/C26</f>
        <v>1</v>
      </c>
      <c r="W26" s="243">
        <f>S26-V26</f>
        <v>0</v>
      </c>
    </row>
    <row r="27" spans="1:23" ht="12.75">
      <c r="A27" s="232"/>
      <c r="B27" s="232" t="s">
        <v>259</v>
      </c>
      <c r="C27" s="232">
        <f>SUM(C19:C26)</f>
        <v>32329.420999999995</v>
      </c>
      <c r="D27" s="232"/>
      <c r="E27" s="232"/>
      <c r="F27" s="232">
        <f>SUM(F19:F26)</f>
        <v>17914.036</v>
      </c>
      <c r="G27" s="232">
        <f>SUM(G19:G26)</f>
        <v>14415.384999999998</v>
      </c>
      <c r="H27" s="232">
        <f>SUM(H19:H26)</f>
        <v>4.4877041921154905</v>
      </c>
      <c r="I27" s="232"/>
      <c r="J27" s="232"/>
      <c r="K27" s="232">
        <f>SUM(K19:K26)</f>
        <v>2.4866790671848973</v>
      </c>
      <c r="L27" s="232">
        <f>SUM(L19:L26)</f>
        <v>2.001025124930594</v>
      </c>
      <c r="M27" s="232">
        <v>7204</v>
      </c>
      <c r="N27" s="238"/>
      <c r="O27" s="238"/>
      <c r="P27" s="238"/>
      <c r="Q27" s="238"/>
      <c r="R27" s="238"/>
      <c r="S27" s="238"/>
      <c r="T27" s="238"/>
      <c r="U27" s="238"/>
      <c r="V27" s="238"/>
      <c r="W27" s="239"/>
    </row>
    <row r="31" spans="1:14" ht="16.5" customHeight="1">
      <c r="A31" s="381" t="s">
        <v>304</v>
      </c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94"/>
      <c r="N31" s="94"/>
    </row>
  </sheetData>
  <sheetProtection/>
  <autoFilter ref="A7:W27"/>
  <mergeCells count="9">
    <mergeCell ref="A31:L31"/>
    <mergeCell ref="A8:W8"/>
    <mergeCell ref="A18:W18"/>
    <mergeCell ref="A3:W3"/>
    <mergeCell ref="C5:F5"/>
    <mergeCell ref="H5:L5"/>
    <mergeCell ref="M5:M6"/>
    <mergeCell ref="N5:R5"/>
    <mergeCell ref="S5:W5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view="pageBreakPreview" zoomScale="95" zoomScaleSheetLayoutView="95" zoomScalePageLayoutView="0" workbookViewId="0" topLeftCell="A25">
      <selection activeCell="H33" sqref="H33"/>
    </sheetView>
  </sheetViews>
  <sheetFormatPr defaultColWidth="9.00390625" defaultRowHeight="12.75"/>
  <cols>
    <col min="1" max="1" width="2.00390625" style="0" customWidth="1"/>
    <col min="2" max="3" width="29.25390625" style="0" customWidth="1"/>
    <col min="4" max="4" width="12.75390625" style="0" customWidth="1"/>
    <col min="5" max="5" width="12.00390625" style="0" customWidth="1"/>
    <col min="8" max="8" width="13.75390625" style="0" customWidth="1"/>
    <col min="9" max="9" width="11.375" style="0" customWidth="1"/>
  </cols>
  <sheetData>
    <row r="1" spans="1:10" ht="15.75" customHeight="1">
      <c r="A1" s="247"/>
      <c r="B1" s="406" t="s">
        <v>353</v>
      </c>
      <c r="C1" s="406"/>
      <c r="D1" s="406"/>
      <c r="E1" s="406"/>
      <c r="F1" s="406"/>
      <c r="G1" s="406"/>
      <c r="H1" s="406"/>
      <c r="I1" s="406"/>
      <c r="J1" s="248"/>
    </row>
    <row r="2" spans="1:10" ht="15.75">
      <c r="A2" s="247"/>
      <c r="B2" s="406"/>
      <c r="C2" s="406"/>
      <c r="D2" s="406"/>
      <c r="E2" s="406"/>
      <c r="F2" s="406"/>
      <c r="G2" s="406"/>
      <c r="H2" s="406"/>
      <c r="I2" s="406"/>
      <c r="J2" s="248"/>
    </row>
    <row r="3" spans="1:10" ht="15.75">
      <c r="A3" s="248"/>
      <c r="B3" s="406"/>
      <c r="C3" s="406"/>
      <c r="D3" s="406"/>
      <c r="E3" s="406"/>
      <c r="F3" s="406"/>
      <c r="G3" s="406"/>
      <c r="H3" s="406"/>
      <c r="I3" s="406"/>
      <c r="J3" s="248"/>
    </row>
    <row r="4" spans="1:10" ht="15.75">
      <c r="A4" s="248"/>
      <c r="B4" s="406"/>
      <c r="C4" s="406"/>
      <c r="D4" s="406"/>
      <c r="E4" s="406"/>
      <c r="F4" s="406"/>
      <c r="G4" s="406"/>
      <c r="H4" s="406"/>
      <c r="I4" s="406"/>
      <c r="J4" s="248"/>
    </row>
    <row r="5" spans="1:10" ht="15.75">
      <c r="A5" s="248"/>
      <c r="B5" s="407"/>
      <c r="C5" s="407"/>
      <c r="D5" s="407"/>
      <c r="E5" s="407"/>
      <c r="F5" s="407"/>
      <c r="G5" s="407"/>
      <c r="H5" s="407"/>
      <c r="I5" s="407"/>
      <c r="J5" s="248"/>
    </row>
    <row r="6" spans="1:10" ht="15.75">
      <c r="A6" s="248"/>
      <c r="B6" s="411" t="s">
        <v>263</v>
      </c>
      <c r="C6" s="408" t="s">
        <v>284</v>
      </c>
      <c r="D6" s="411" t="s">
        <v>264</v>
      </c>
      <c r="E6" s="411" t="s">
        <v>265</v>
      </c>
      <c r="F6" s="411"/>
      <c r="G6" s="411"/>
      <c r="H6" s="411"/>
      <c r="I6" s="411"/>
      <c r="J6" s="248"/>
    </row>
    <row r="7" spans="1:10" ht="15.75">
      <c r="A7" s="248"/>
      <c r="B7" s="411"/>
      <c r="C7" s="409"/>
      <c r="D7" s="411"/>
      <c r="E7" s="249" t="s">
        <v>123</v>
      </c>
      <c r="F7" s="249" t="s">
        <v>124</v>
      </c>
      <c r="G7" s="249" t="s">
        <v>266</v>
      </c>
      <c r="H7" s="249" t="s">
        <v>267</v>
      </c>
      <c r="I7" s="249" t="s">
        <v>127</v>
      </c>
      <c r="J7" s="248"/>
    </row>
    <row r="8" spans="1:10" ht="15.75">
      <c r="A8" s="248"/>
      <c r="B8" s="250">
        <v>1</v>
      </c>
      <c r="C8" s="410"/>
      <c r="D8" s="250">
        <v>2</v>
      </c>
      <c r="E8" s="250">
        <v>3</v>
      </c>
      <c r="F8" s="250">
        <v>4</v>
      </c>
      <c r="G8" s="250">
        <v>5</v>
      </c>
      <c r="H8" s="250">
        <v>6</v>
      </c>
      <c r="I8" s="250">
        <v>7</v>
      </c>
      <c r="J8" s="248"/>
    </row>
    <row r="9" spans="1:10" ht="15.75">
      <c r="A9" s="248"/>
      <c r="B9" s="397" t="s">
        <v>354</v>
      </c>
      <c r="C9" s="398"/>
      <c r="D9" s="398"/>
      <c r="E9" s="398"/>
      <c r="F9" s="398"/>
      <c r="G9" s="398"/>
      <c r="H9" s="398"/>
      <c r="I9" s="399"/>
      <c r="J9" s="248"/>
    </row>
    <row r="10" spans="1:10" ht="47.25">
      <c r="A10" s="248"/>
      <c r="B10" s="251" t="s">
        <v>268</v>
      </c>
      <c r="C10" s="255">
        <v>1</v>
      </c>
      <c r="D10" s="249" t="s">
        <v>269</v>
      </c>
      <c r="E10" s="252">
        <f>F10+G10+H10+I10</f>
        <v>35915.354999999996</v>
      </c>
      <c r="F10" s="252"/>
      <c r="G10" s="252"/>
      <c r="H10" s="252">
        <f>H11+H13</f>
        <v>35915.354999999996</v>
      </c>
      <c r="I10" s="252"/>
      <c r="J10" s="248"/>
    </row>
    <row r="11" spans="1:10" ht="15.75">
      <c r="A11" s="248"/>
      <c r="B11" s="251" t="s">
        <v>270</v>
      </c>
      <c r="C11" s="255" t="s">
        <v>193</v>
      </c>
      <c r="D11" s="249" t="s">
        <v>269</v>
      </c>
      <c r="E11" s="252">
        <f>H11</f>
        <v>13127.028</v>
      </c>
      <c r="F11" s="252"/>
      <c r="G11" s="252"/>
      <c r="H11" s="298">
        <v>13127.028</v>
      </c>
      <c r="I11" s="252"/>
      <c r="J11" s="248"/>
    </row>
    <row r="12" spans="1:10" ht="31.5">
      <c r="A12" s="248"/>
      <c r="B12" s="251" t="s">
        <v>271</v>
      </c>
      <c r="C12" s="255" t="s">
        <v>195</v>
      </c>
      <c r="D12" s="249" t="s">
        <v>269</v>
      </c>
      <c r="E12" s="252"/>
      <c r="F12" s="252"/>
      <c r="G12" s="252"/>
      <c r="H12" s="252"/>
      <c r="I12" s="252"/>
      <c r="J12" s="248"/>
    </row>
    <row r="13" spans="1:10" ht="31.5">
      <c r="A13" s="248"/>
      <c r="B13" s="251" t="s">
        <v>272</v>
      </c>
      <c r="C13" s="255" t="s">
        <v>197</v>
      </c>
      <c r="D13" s="249" t="s">
        <v>269</v>
      </c>
      <c r="E13" s="252">
        <f>H13</f>
        <v>22788.326999999997</v>
      </c>
      <c r="F13" s="252"/>
      <c r="G13" s="252"/>
      <c r="H13" s="252">
        <v>22788.326999999997</v>
      </c>
      <c r="I13" s="252"/>
      <c r="J13" s="248"/>
    </row>
    <row r="14" spans="1:10" ht="47.25">
      <c r="A14" s="248"/>
      <c r="B14" s="251" t="s">
        <v>280</v>
      </c>
      <c r="C14" s="255" t="s">
        <v>53</v>
      </c>
      <c r="D14" s="249" t="s">
        <v>269</v>
      </c>
      <c r="E14" s="252">
        <f>I14</f>
        <v>16280.064</v>
      </c>
      <c r="F14" s="252"/>
      <c r="G14" s="252"/>
      <c r="H14" s="252"/>
      <c r="I14" s="252">
        <v>16280.064</v>
      </c>
      <c r="J14" s="248"/>
    </row>
    <row r="15" spans="1:10" ht="31.5">
      <c r="A15" s="248"/>
      <c r="B15" s="251" t="s">
        <v>273</v>
      </c>
      <c r="C15" s="255" t="s">
        <v>56</v>
      </c>
      <c r="D15" s="249" t="s">
        <v>269</v>
      </c>
      <c r="E15" s="252">
        <f>H15+I15</f>
        <v>32329.421</v>
      </c>
      <c r="F15" s="252"/>
      <c r="G15" s="252"/>
      <c r="H15" s="252">
        <v>17914.036</v>
      </c>
      <c r="I15" s="298">
        <v>14415.384999999998</v>
      </c>
      <c r="J15" s="248"/>
    </row>
    <row r="16" spans="1:10" ht="15.75">
      <c r="A16" s="248"/>
      <c r="B16" s="400" t="s">
        <v>274</v>
      </c>
      <c r="C16" s="255" t="s">
        <v>62</v>
      </c>
      <c r="D16" s="249" t="s">
        <v>269</v>
      </c>
      <c r="E16" s="252">
        <f>H16+I16</f>
        <v>3585.932</v>
      </c>
      <c r="F16" s="252"/>
      <c r="G16" s="252"/>
      <c r="H16" s="252">
        <v>1721.2549999999997</v>
      </c>
      <c r="I16" s="252">
        <v>1864.6770000000004</v>
      </c>
      <c r="J16" s="248"/>
    </row>
    <row r="17" spans="1:10" ht="15.75">
      <c r="A17" s="248"/>
      <c r="B17" s="401"/>
      <c r="C17" s="255" t="s">
        <v>64</v>
      </c>
      <c r="D17" s="249" t="s">
        <v>41</v>
      </c>
      <c r="E17" s="252">
        <f>E16/E10*100</f>
        <v>9.984398038109326</v>
      </c>
      <c r="F17" s="252"/>
      <c r="G17" s="252"/>
      <c r="H17" s="252">
        <f>H16/H10*100</f>
        <v>4.79253233053105</v>
      </c>
      <c r="I17" s="252">
        <f>I16/I14*100</f>
        <v>11.453744899282952</v>
      </c>
      <c r="J17" s="248"/>
    </row>
    <row r="18" spans="1:10" ht="47.25">
      <c r="A18" s="248" t="s">
        <v>275</v>
      </c>
      <c r="B18" s="251" t="s">
        <v>276</v>
      </c>
      <c r="C18" s="255" t="s">
        <v>72</v>
      </c>
      <c r="D18" s="249" t="s">
        <v>181</v>
      </c>
      <c r="E18" s="252">
        <f>H18+I18</f>
        <v>43.347</v>
      </c>
      <c r="F18" s="252"/>
      <c r="G18" s="252"/>
      <c r="H18" s="252">
        <v>24.992</v>
      </c>
      <c r="I18" s="252">
        <v>18.355</v>
      </c>
      <c r="J18" s="248"/>
    </row>
    <row r="19" spans="1:10" ht="31.5">
      <c r="A19" s="248"/>
      <c r="B19" s="251" t="s">
        <v>277</v>
      </c>
      <c r="C19" s="255" t="s">
        <v>81</v>
      </c>
      <c r="D19" s="249" t="s">
        <v>181</v>
      </c>
      <c r="E19" s="252">
        <f>H19+I19</f>
        <v>0.012</v>
      </c>
      <c r="F19" s="252"/>
      <c r="G19" s="252"/>
      <c r="H19" s="252">
        <v>0.012</v>
      </c>
      <c r="I19" s="252">
        <v>0</v>
      </c>
      <c r="J19" s="248"/>
    </row>
    <row r="20" spans="1:10" ht="47.25">
      <c r="A20" s="248"/>
      <c r="B20" s="251" t="s">
        <v>286</v>
      </c>
      <c r="C20" s="255" t="s">
        <v>290</v>
      </c>
      <c r="D20" s="249" t="s">
        <v>83</v>
      </c>
      <c r="E20" s="252">
        <v>22.48</v>
      </c>
      <c r="F20" s="252"/>
      <c r="G20" s="252"/>
      <c r="H20" s="252">
        <v>22.48</v>
      </c>
      <c r="I20" s="252"/>
      <c r="J20" s="248"/>
    </row>
    <row r="21" spans="1:10" ht="63">
      <c r="A21" s="248"/>
      <c r="B21" s="249" t="s">
        <v>278</v>
      </c>
      <c r="C21" s="255" t="s">
        <v>291</v>
      </c>
      <c r="D21" s="249" t="s">
        <v>41</v>
      </c>
      <c r="E21" s="252">
        <f>E19/(E18-E19)</f>
        <v>0.0002769124264451367</v>
      </c>
      <c r="F21" s="252"/>
      <c r="G21" s="252"/>
      <c r="H21" s="252"/>
      <c r="I21" s="252"/>
      <c r="J21" s="248"/>
    </row>
    <row r="22" spans="1:10" ht="94.5">
      <c r="A22" s="248"/>
      <c r="B22" s="249" t="s">
        <v>285</v>
      </c>
      <c r="C22" s="255" t="s">
        <v>292</v>
      </c>
      <c r="D22" s="249" t="s">
        <v>287</v>
      </c>
      <c r="E22" s="252">
        <f>E15/E20</f>
        <v>1438.1415035587188</v>
      </c>
      <c r="F22" s="252"/>
      <c r="G22" s="252"/>
      <c r="H22" s="252"/>
      <c r="I22" s="252"/>
      <c r="J22" s="248"/>
    </row>
    <row r="23" spans="1:10" ht="94.5">
      <c r="A23" s="248"/>
      <c r="B23" s="249" t="s">
        <v>288</v>
      </c>
      <c r="C23" s="255" t="s">
        <v>293</v>
      </c>
      <c r="D23" s="249" t="s">
        <v>289</v>
      </c>
      <c r="E23" s="252">
        <f>E15/E18</f>
        <v>745.8283387547003</v>
      </c>
      <c r="F23" s="252"/>
      <c r="G23" s="252"/>
      <c r="H23" s="252">
        <f>H15/H18</f>
        <v>716.7908130601793</v>
      </c>
      <c r="I23" s="252">
        <f>I15/I18</f>
        <v>785.365567965132</v>
      </c>
      <c r="J23" s="248"/>
    </row>
    <row r="24" spans="1:10" ht="78.75">
      <c r="A24" s="248"/>
      <c r="B24" s="253" t="s">
        <v>279</v>
      </c>
      <c r="C24" s="256" t="s">
        <v>294</v>
      </c>
      <c r="D24" s="253" t="s">
        <v>41</v>
      </c>
      <c r="E24" s="254">
        <v>16.01</v>
      </c>
      <c r="F24" s="254"/>
      <c r="G24" s="254"/>
      <c r="H24" s="254">
        <v>6.17</v>
      </c>
      <c r="I24" s="254">
        <v>10.49</v>
      </c>
      <c r="J24" s="248"/>
    </row>
    <row r="25" spans="1:10" ht="15.75">
      <c r="A25" s="248"/>
      <c r="B25" s="402" t="s">
        <v>357</v>
      </c>
      <c r="C25" s="403"/>
      <c r="D25" s="404"/>
      <c r="E25" s="404"/>
      <c r="F25" s="404"/>
      <c r="G25" s="404"/>
      <c r="H25" s="404"/>
      <c r="I25" s="405"/>
      <c r="J25" s="248"/>
    </row>
    <row r="26" spans="1:10" ht="47.25">
      <c r="A26" s="248"/>
      <c r="B26" s="251" t="s">
        <v>268</v>
      </c>
      <c r="C26" s="255" t="s">
        <v>295</v>
      </c>
      <c r="D26" s="249" t="s">
        <v>269</v>
      </c>
      <c r="E26" s="252">
        <f>F26+G26+H26+I26</f>
        <v>35695.507</v>
      </c>
      <c r="F26" s="252"/>
      <c r="G26" s="252"/>
      <c r="H26" s="252">
        <v>35695.507</v>
      </c>
      <c r="I26" s="252"/>
      <c r="J26" s="248"/>
    </row>
    <row r="27" spans="1:10" ht="15.75">
      <c r="A27" s="248"/>
      <c r="B27" s="251" t="s">
        <v>270</v>
      </c>
      <c r="C27" s="255" t="s">
        <v>296</v>
      </c>
      <c r="D27" s="249" t="s">
        <v>269</v>
      </c>
      <c r="E27" s="252">
        <f>F27+G27+H27+I27</f>
        <v>13127.028</v>
      </c>
      <c r="F27" s="252"/>
      <c r="G27" s="252"/>
      <c r="H27" s="252">
        <v>13127.028</v>
      </c>
      <c r="I27" s="252"/>
      <c r="J27" s="248"/>
    </row>
    <row r="28" spans="1:10" ht="31.5">
      <c r="A28" s="248"/>
      <c r="B28" s="251" t="s">
        <v>271</v>
      </c>
      <c r="C28" s="255" t="s">
        <v>297</v>
      </c>
      <c r="D28" s="249" t="s">
        <v>269</v>
      </c>
      <c r="E28" s="252"/>
      <c r="F28" s="252"/>
      <c r="G28" s="252"/>
      <c r="H28" s="252"/>
      <c r="I28" s="252"/>
      <c r="J28" s="248"/>
    </row>
    <row r="29" spans="1:10" ht="31.5">
      <c r="A29" s="248"/>
      <c r="B29" s="251" t="s">
        <v>272</v>
      </c>
      <c r="C29" s="255" t="s">
        <v>298</v>
      </c>
      <c r="D29" s="249" t="s">
        <v>269</v>
      </c>
      <c r="E29" s="252">
        <f>F29+G29+H29+I29</f>
        <v>22568.479</v>
      </c>
      <c r="F29" s="252"/>
      <c r="G29" s="252"/>
      <c r="H29" s="252">
        <f>H26-H27</f>
        <v>22568.479</v>
      </c>
      <c r="I29" s="252"/>
      <c r="J29" s="248"/>
    </row>
    <row r="30" spans="1:10" ht="47.25">
      <c r="A30" s="248"/>
      <c r="B30" s="251" t="s">
        <v>280</v>
      </c>
      <c r="C30" s="255" t="s">
        <v>299</v>
      </c>
      <c r="D30" s="249" t="s">
        <v>269</v>
      </c>
      <c r="E30" s="252">
        <f>I30</f>
        <v>16104.496081139998</v>
      </c>
      <c r="F30" s="252"/>
      <c r="G30" s="252"/>
      <c r="H30" s="252"/>
      <c r="I30" s="252">
        <f>H26-H31-H33</f>
        <v>16104.496081139998</v>
      </c>
      <c r="J30" s="248"/>
    </row>
    <row r="31" spans="1:10" ht="31.5">
      <c r="A31" s="248"/>
      <c r="B31" s="251" t="s">
        <v>281</v>
      </c>
      <c r="C31" s="255" t="s">
        <v>300</v>
      </c>
      <c r="D31" s="249" t="s">
        <v>269</v>
      </c>
      <c r="E31" s="252">
        <f>H31+I31</f>
        <v>32329.421</v>
      </c>
      <c r="F31" s="252"/>
      <c r="G31" s="252"/>
      <c r="H31" s="252">
        <v>17914.036</v>
      </c>
      <c r="I31" s="252">
        <v>14415.384999999998</v>
      </c>
      <c r="J31" s="248"/>
    </row>
    <row r="32" spans="1:10" ht="31.5">
      <c r="A32" s="248"/>
      <c r="B32" s="251" t="s">
        <v>282</v>
      </c>
      <c r="C32" s="255" t="s">
        <v>301</v>
      </c>
      <c r="D32" s="249" t="s">
        <v>41</v>
      </c>
      <c r="E32" s="252">
        <f>E33/E26*100</f>
        <v>9.430701062101699</v>
      </c>
      <c r="F32" s="252"/>
      <c r="G32" s="252"/>
      <c r="H32" s="252">
        <v>4.698</v>
      </c>
      <c r="I32" s="252">
        <v>10.49</v>
      </c>
      <c r="J32" s="248"/>
    </row>
    <row r="33" spans="1:10" ht="31.5">
      <c r="A33" s="248"/>
      <c r="B33" s="251" t="s">
        <v>283</v>
      </c>
      <c r="C33" s="255" t="s">
        <v>302</v>
      </c>
      <c r="D33" s="249" t="s">
        <v>269</v>
      </c>
      <c r="E33" s="252">
        <f>H33+I33</f>
        <v>3366.336557771586</v>
      </c>
      <c r="F33" s="252"/>
      <c r="G33" s="252"/>
      <c r="H33" s="252">
        <f>H26*H32/100</f>
        <v>1676.9749188600001</v>
      </c>
      <c r="I33" s="252">
        <f>I30*I32/100</f>
        <v>1689.361638911586</v>
      </c>
      <c r="J33" s="248"/>
    </row>
    <row r="34" spans="2:9" ht="15.75">
      <c r="B34" s="394" t="s">
        <v>358</v>
      </c>
      <c r="C34" s="395"/>
      <c r="D34" s="395"/>
      <c r="E34" s="395"/>
      <c r="F34" s="395"/>
      <c r="G34" s="395"/>
      <c r="H34" s="395"/>
      <c r="I34" s="396"/>
    </row>
    <row r="35" spans="2:5" ht="31.5">
      <c r="B35" s="251" t="s">
        <v>282</v>
      </c>
      <c r="C35" s="255" t="s">
        <v>303</v>
      </c>
      <c r="D35" s="249" t="s">
        <v>41</v>
      </c>
      <c r="E35" s="257">
        <f>E32</f>
        <v>9.430701062101699</v>
      </c>
    </row>
    <row r="38" spans="2:12" ht="15.75">
      <c r="B38" s="178" t="s">
        <v>260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</row>
  </sheetData>
  <sheetProtection/>
  <mergeCells count="9">
    <mergeCell ref="B34:I34"/>
    <mergeCell ref="B9:I9"/>
    <mergeCell ref="B16:B17"/>
    <mergeCell ref="B25:I25"/>
    <mergeCell ref="B1:I5"/>
    <mergeCell ref="C6:C8"/>
    <mergeCell ref="B6:B7"/>
    <mergeCell ref="D6:D7"/>
    <mergeCell ref="E6:I6"/>
  </mergeCells>
  <printOptions horizontalCentered="1"/>
  <pageMargins left="0.1968503937007874" right="0.1968503937007874" top="0.7480314960629921" bottom="0.1968503937007874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О.В.</dc:creator>
  <cp:keywords/>
  <dc:description/>
  <cp:lastModifiedBy>Lenovo</cp:lastModifiedBy>
  <cp:lastPrinted>2021-03-23T08:14:53Z</cp:lastPrinted>
  <dcterms:created xsi:type="dcterms:W3CDTF">2011-01-17T06:46:32Z</dcterms:created>
  <dcterms:modified xsi:type="dcterms:W3CDTF">2022-03-03T09:19:44Z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